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/AlleAktien Dropbox/AlleAktien/Analysen/Amazon/"/>
    </mc:Choice>
  </mc:AlternateContent>
  <xr:revisionPtr revIDLastSave="0" documentId="13_ncr:1_{8FA79661-A33E-6849-AC73-74387E73CDEF}" xr6:coauthVersionLast="45" xr6:coauthVersionMax="45" xr10:uidLastSave="{00000000-0000-0000-0000-000000000000}"/>
  <bookViews>
    <workbookView xWindow="0" yWindow="500" windowWidth="28800" windowHeight="17500" xr2:uid="{86DD9114-E970-8C40-887B-7878793C85B6}"/>
  </bookViews>
  <sheets>
    <sheet name="AlleAkti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5" i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B18" i="1" s="1"/>
  <c r="D17" i="1"/>
  <c r="E17" i="1"/>
  <c r="F17" i="1"/>
  <c r="G17" i="1"/>
  <c r="C17" i="1"/>
  <c r="D13" i="1"/>
  <c r="E13" i="1"/>
  <c r="G13" i="1"/>
  <c r="F14" i="1"/>
  <c r="F13" i="1" s="1"/>
  <c r="C13" i="1"/>
  <c r="W18" i="1" l="1"/>
  <c r="N18" i="1"/>
  <c r="O18" i="1"/>
  <c r="V18" i="1"/>
  <c r="H18" i="1"/>
  <c r="L18" i="1"/>
  <c r="U18" i="1"/>
  <c r="M18" i="1"/>
  <c r="T18" i="1"/>
  <c r="AA18" i="1"/>
  <c r="S18" i="1"/>
  <c r="K18" i="1"/>
  <c r="Z18" i="1"/>
  <c r="R18" i="1"/>
  <c r="J18" i="1"/>
  <c r="Y18" i="1"/>
  <c r="Q18" i="1"/>
  <c r="I18" i="1"/>
  <c r="X18" i="1"/>
  <c r="P18" i="1"/>
  <c r="C26" i="1"/>
  <c r="H11" i="1" l="1"/>
  <c r="I11" i="1" l="1"/>
  <c r="H14" i="1"/>
  <c r="J29" i="1"/>
  <c r="J11" i="1" l="1"/>
  <c r="J14" i="1" s="1"/>
  <c r="I14" i="1"/>
  <c r="I20" i="1"/>
  <c r="I21" i="1" s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K11" i="1" l="1"/>
  <c r="K14" i="1" s="1"/>
  <c r="J21" i="1"/>
  <c r="H20" i="1"/>
  <c r="H21" i="1" s="1"/>
  <c r="D27" i="1" l="1"/>
  <c r="G12" i="1" l="1"/>
  <c r="F12" i="1"/>
  <c r="E12" i="1"/>
  <c r="D12" i="1"/>
  <c r="L11" i="1" l="1"/>
  <c r="L14" i="1" s="1"/>
  <c r="K21" i="1"/>
  <c r="M11" i="1" l="1"/>
  <c r="M14" i="1" s="1"/>
  <c r="L21" i="1"/>
  <c r="M21" i="1" l="1"/>
  <c r="N11" i="1"/>
  <c r="N14" i="1" s="1"/>
  <c r="N21" i="1" l="1"/>
  <c r="O11" i="1"/>
  <c r="O14" i="1" s="1"/>
  <c r="O21" i="1" l="1"/>
  <c r="P11" i="1"/>
  <c r="P14" i="1" s="1"/>
  <c r="Q11" i="1" l="1"/>
  <c r="Q14" i="1" s="1"/>
  <c r="P21" i="1"/>
  <c r="R11" i="1" l="1"/>
  <c r="R14" i="1" s="1"/>
  <c r="Q21" i="1"/>
  <c r="S11" i="1" l="1"/>
  <c r="S14" i="1" s="1"/>
  <c r="R21" i="1"/>
  <c r="J30" i="1" l="1"/>
  <c r="T11" i="1"/>
  <c r="T14" i="1" s="1"/>
  <c r="S21" i="1"/>
  <c r="J26" i="1" l="1"/>
  <c r="J31" i="1" s="1"/>
  <c r="J32" i="1" s="1"/>
  <c r="J33" i="1" s="1"/>
  <c r="U11" i="1"/>
  <c r="U14" i="1" s="1"/>
  <c r="T21" i="1"/>
  <c r="U21" i="1" l="1"/>
  <c r="V11" i="1"/>
  <c r="V14" i="1" s="1"/>
  <c r="V21" i="1" l="1"/>
  <c r="W11" i="1"/>
  <c r="W14" i="1" s="1"/>
  <c r="W21" i="1" l="1"/>
  <c r="X11" i="1"/>
  <c r="X14" i="1" s="1"/>
  <c r="Y11" i="1" l="1"/>
  <c r="Y14" i="1" s="1"/>
  <c r="X21" i="1"/>
  <c r="Z11" i="1" l="1"/>
  <c r="Z14" i="1" s="1"/>
  <c r="Y21" i="1"/>
  <c r="AA11" i="1" l="1"/>
  <c r="AA14" i="1" s="1"/>
  <c r="Z21" i="1"/>
  <c r="AB11" i="1" l="1"/>
  <c r="AB14" i="1" s="1"/>
  <c r="AA21" i="1"/>
  <c r="AB21" i="1" l="1"/>
  <c r="D37" i="1" l="1"/>
  <c r="D38" i="1"/>
  <c r="D39" i="1"/>
  <c r="D40" i="1"/>
  <c r="D44" i="1"/>
  <c r="D36" i="1"/>
  <c r="D41" i="1"/>
  <c r="D42" i="1"/>
  <c r="D43" i="1"/>
  <c r="AC21" i="1"/>
  <c r="D26" i="1" s="1"/>
  <c r="D28" i="1" s="1"/>
  <c r="D29" i="1" s="1"/>
</calcChain>
</file>

<file path=xl/sharedStrings.xml><?xml version="1.0" encoding="utf-8"?>
<sst xmlns="http://schemas.openxmlformats.org/spreadsheetml/2006/main" count="41" uniqueCount="34">
  <si>
    <t>Bewertung</t>
  </si>
  <si>
    <t>Fundamental</t>
  </si>
  <si>
    <t>Unterbewertung</t>
  </si>
  <si>
    <t>Fairer Wert</t>
  </si>
  <si>
    <t>Kurs pro Aktie</t>
  </si>
  <si>
    <t>AlleAktien Future Multiple Valuation (FMV)</t>
  </si>
  <si>
    <t>KGV 2030</t>
  </si>
  <si>
    <t>Renditeerwartung</t>
  </si>
  <si>
    <t>USD</t>
  </si>
  <si>
    <t>Verschuldung</t>
  </si>
  <si>
    <t>Renditetabelle</t>
  </si>
  <si>
    <t>Diskontierungsfaktor (WACC)</t>
  </si>
  <si>
    <t>Prognose »</t>
  </si>
  <si>
    <t>Zinszahlung (4,9% Zinsen)</t>
  </si>
  <si>
    <t>Gesamtrendite</t>
  </si>
  <si>
    <t>Marktkap. + Div. 2030</t>
  </si>
  <si>
    <t>Ausschüttungsquote</t>
  </si>
  <si>
    <t>Terminal Value</t>
  </si>
  <si>
    <t>Umsatz AWS</t>
  </si>
  <si>
    <t>EBIT AWS</t>
  </si>
  <si>
    <t>Gewinn (21% Unternehmenssteuer)</t>
  </si>
  <si>
    <t>Umsatz Einzelhandel, Prime, Werbung</t>
  </si>
  <si>
    <t>EBIT Einzelhandel, Prime, Werbung</t>
  </si>
  <si>
    <t>Umsatz-Wachstum Einzelhandel, %</t>
  </si>
  <si>
    <t>EBIT-Marge Einzelhandel, %</t>
  </si>
  <si>
    <t>Umsatz-Wachstum AWS, %</t>
  </si>
  <si>
    <t>EBIT-Marge AWS, %</t>
  </si>
  <si>
    <t>Anzahl Aktien (diluted), Mio.</t>
  </si>
  <si>
    <t>Marktkapitalisierung, Mio.</t>
  </si>
  <si>
    <t>Gewinn 2030, Mio.</t>
  </si>
  <si>
    <t>Marktkap. heute, Mio.</t>
  </si>
  <si>
    <t>Dividenden bis 2030, Mio.</t>
  </si>
  <si>
    <t>Marktkap. 2030, Mio.</t>
  </si>
  <si>
    <t>Alle Angaben in Mio.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</si>
</sst>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#,##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9CF5DC"/>
        <bgColor indexed="64"/>
      </patternFill>
    </fill>
    <fill>
      <patternFill patternType="solid">
        <fgColor rgb="FFCBD5E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9" fontId="1" fillId="2" borderId="0" xfId="1" applyFont="1" applyFill="1"/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wrapText="1"/>
    </xf>
    <xf numFmtId="0" fontId="5" fillId="3" borderId="0" xfId="0" applyFont="1" applyFill="1"/>
    <xf numFmtId="38" fontId="0" fillId="3" borderId="0" xfId="0" applyNumberFormat="1" applyFill="1"/>
    <xf numFmtId="0" fontId="4" fillId="3" borderId="0" xfId="0" quotePrefix="1" applyFont="1" applyFill="1"/>
    <xf numFmtId="3" fontId="4" fillId="3" borderId="0" xfId="0" quotePrefix="1" applyNumberFormat="1" applyFont="1" applyFill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vertical="center" wrapText="1"/>
    </xf>
    <xf numFmtId="3" fontId="0" fillId="4" borderId="0" xfId="0" applyNumberFormat="1" applyFont="1" applyFill="1"/>
    <xf numFmtId="9" fontId="0" fillId="4" borderId="0" xfId="1" applyFont="1" applyFill="1"/>
    <xf numFmtId="3" fontId="0" fillId="4" borderId="0" xfId="0" applyNumberFormat="1" applyFill="1"/>
    <xf numFmtId="0" fontId="0" fillId="4" borderId="0" xfId="0" applyFont="1" applyFill="1"/>
    <xf numFmtId="1" fontId="1" fillId="4" borderId="0" xfId="1" applyNumberFormat="1" applyFont="1" applyFill="1"/>
    <xf numFmtId="9" fontId="0" fillId="5" borderId="0" xfId="1" applyFont="1" applyFill="1"/>
    <xf numFmtId="0" fontId="6" fillId="3" borderId="0" xfId="0" applyFont="1" applyFill="1"/>
    <xf numFmtId="4" fontId="3" fillId="4" borderId="0" xfId="0" applyNumberFormat="1" applyFont="1" applyFill="1"/>
    <xf numFmtId="4" fontId="0" fillId="4" borderId="0" xfId="0" applyNumberFormat="1" applyFill="1"/>
    <xf numFmtId="3" fontId="0" fillId="2" borderId="0" xfId="0" applyNumberFormat="1" applyFont="1" applyFill="1"/>
    <xf numFmtId="0" fontId="0" fillId="6" borderId="0" xfId="0" applyFill="1"/>
    <xf numFmtId="0" fontId="3" fillId="6" borderId="0" xfId="0" applyFont="1" applyFill="1"/>
    <xf numFmtId="0" fontId="2" fillId="6" borderId="0" xfId="0" applyFont="1" applyFill="1"/>
    <xf numFmtId="0" fontId="0" fillId="6" borderId="0" xfId="0" applyFill="1" applyAlignment="1">
      <alignment wrapText="1"/>
    </xf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4" fontId="3" fillId="6" borderId="0" xfId="0" applyNumberFormat="1" applyFont="1" applyFill="1"/>
    <xf numFmtId="4" fontId="0" fillId="6" borderId="0" xfId="0" applyNumberFormat="1" applyFill="1"/>
    <xf numFmtId="9" fontId="3" fillId="6" borderId="0" xfId="1" applyFont="1" applyFill="1"/>
    <xf numFmtId="3" fontId="0" fillId="2" borderId="0" xfId="0" applyNumberFormat="1" applyFill="1"/>
    <xf numFmtId="165" fontId="0" fillId="4" borderId="0" xfId="0" applyNumberFormat="1" applyFill="1"/>
    <xf numFmtId="9" fontId="0" fillId="2" borderId="0" xfId="1" applyFont="1" applyFill="1"/>
    <xf numFmtId="3" fontId="0" fillId="6" borderId="0" xfId="0" applyNumberFormat="1" applyFill="1"/>
    <xf numFmtId="3" fontId="0" fillId="6" borderId="0" xfId="0" applyNumberFormat="1" applyFont="1" applyFill="1"/>
    <xf numFmtId="0" fontId="3" fillId="6" borderId="0" xfId="0" applyFont="1" applyFill="1" applyAlignment="1">
      <alignment horizontal="right"/>
    </xf>
    <xf numFmtId="0" fontId="0" fillId="4" borderId="1" xfId="0" applyFill="1" applyBorder="1"/>
    <xf numFmtId="3" fontId="0" fillId="6" borderId="1" xfId="0" applyNumberFormat="1" applyFont="1" applyFill="1" applyBorder="1"/>
    <xf numFmtId="3" fontId="0" fillId="4" borderId="1" xfId="0" applyNumberFormat="1" applyFont="1" applyFill="1" applyBorder="1"/>
    <xf numFmtId="3" fontId="0" fillId="6" borderId="1" xfId="0" applyNumberFormat="1" applyFill="1" applyBorder="1"/>
  </cellXfs>
  <cellStyles count="3">
    <cellStyle name="Prozent" xfId="1" builtinId="5"/>
    <cellStyle name="Prozent 2" xfId="2" xr:uid="{7A6FE9AA-E0C4-404C-B5D7-989DCA2EB139}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D3748"/>
      <color rgb="FF1D40C7"/>
      <color rgb="FFCBD5E0"/>
      <color rgb="FFFFE1E2"/>
      <color rgb="FFFFFAE0"/>
      <color rgb="FF9CF5DC"/>
      <color rgb="FFEDF2F7"/>
      <color rgb="FFFFEB7D"/>
      <color rgb="FFFFD802"/>
      <color rgb="FF718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7F04FD8-EEB4-2B4E-8E96-5EB5A93FCF2F}"/>
            </a:ext>
          </a:extLst>
        </xdr:cNvPr>
        <xdr:cNvSpPr txBox="1"/>
      </xdr:nvSpPr>
      <xdr:spPr>
        <a:xfrm>
          <a:off x="0" y="0"/>
          <a:ext cx="206248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6</xdr:col>
      <xdr:colOff>228600</xdr:colOff>
      <xdr:row>25</xdr:row>
      <xdr:rowOff>203200</xdr:rowOff>
    </xdr:from>
    <xdr:to>
      <xdr:col>6</xdr:col>
      <xdr:colOff>840600</xdr:colOff>
      <xdr:row>28</xdr:row>
      <xdr:rowOff>192900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420C633-4206-3140-9D88-37A414755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255000" y="4089400"/>
          <a:ext cx="612000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36</xdr:row>
      <xdr:rowOff>95250</xdr:rowOff>
    </xdr:from>
    <xdr:to>
      <xdr:col>0</xdr:col>
      <xdr:colOff>754875</xdr:colOff>
      <xdr:row>39</xdr:row>
      <xdr:rowOff>88125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425C894-C517-6D4D-84AF-64DFC58BD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2875" y="6778625"/>
          <a:ext cx="612000" cy="61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E68EDBB-8E08-7C40-9938-84767D184AD0}"/>
            </a:ext>
          </a:extLst>
        </xdr:cNvPr>
        <xdr:cNvSpPr txBox="1"/>
      </xdr:nvSpPr>
      <xdr:spPr>
        <a:xfrm>
          <a:off x="0" y="0"/>
          <a:ext cx="2059577" cy="541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244134</xdr:colOff>
      <xdr:row>12</xdr:row>
      <xdr:rowOff>135114</xdr:rowOff>
    </xdr:from>
    <xdr:to>
      <xdr:col>0</xdr:col>
      <xdr:colOff>731713</xdr:colOff>
      <xdr:row>15</xdr:row>
      <xdr:rowOff>25400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D3DFDFE-8E00-C343-A880-A2CAFA82A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rcRect/>
        <a:stretch/>
      </xdr:blipFill>
      <xdr:spPr>
        <a:xfrm>
          <a:off x="244134" y="2590447"/>
          <a:ext cx="487579" cy="499886"/>
        </a:xfrm>
        <a:prstGeom prst="rect">
          <a:avLst/>
        </a:prstGeom>
      </xdr:spPr>
    </xdr:pic>
    <xdr:clientData/>
  </xdr:twoCellAnchor>
  <xdr:twoCellAnchor editAs="oneCell">
    <xdr:from>
      <xdr:col>0</xdr:col>
      <xdr:colOff>198476</xdr:colOff>
      <xdr:row>26</xdr:row>
      <xdr:rowOff>62403</xdr:rowOff>
    </xdr:from>
    <xdr:to>
      <xdr:col>0</xdr:col>
      <xdr:colOff>691010</xdr:colOff>
      <xdr:row>28</xdr:row>
      <xdr:rowOff>160893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E1589B77-B014-7348-B036-282BC0468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/>
      </xdr:blipFill>
      <xdr:spPr>
        <a:xfrm>
          <a:off x="198476" y="4596303"/>
          <a:ext cx="492534" cy="50489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84667</xdr:rowOff>
    </xdr:from>
    <xdr:to>
      <xdr:col>2</xdr:col>
      <xdr:colOff>343370</xdr:colOff>
      <xdr:row>3</xdr:row>
      <xdr:rowOff>14111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70835A2-EFAE-C340-9F5F-5179DD935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2271889" y="84667"/>
          <a:ext cx="1740370" cy="522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50A5-4AB6-974B-96A9-98D923897FEF}">
  <dimension ref="A1:CF45"/>
  <sheetViews>
    <sheetView tabSelected="1" zoomScale="90" zoomScaleNormal="100" workbookViewId="0">
      <selection activeCell="N46" sqref="N46"/>
    </sheetView>
  </sheetViews>
  <sheetFormatPr baseColWidth="10" defaultColWidth="10.6640625" defaultRowHeight="16" x14ac:dyDescent="0.2"/>
  <cols>
    <col min="1" max="1" width="14.83203125" style="2" customWidth="1"/>
    <col min="2" max="2" width="33.33203125" style="2" bestFit="1" customWidth="1"/>
    <col min="3" max="3" width="16" style="2" bestFit="1" customWidth="1"/>
    <col min="4" max="4" width="16.1640625" style="2" customWidth="1"/>
    <col min="5" max="5" width="14.1640625" style="2" customWidth="1"/>
    <col min="6" max="6" width="13.6640625" style="2" customWidth="1"/>
    <col min="7" max="7" width="14.83203125" style="2" customWidth="1"/>
    <col min="8" max="8" width="12.1640625" style="2" customWidth="1"/>
    <col min="9" max="27" width="10.6640625" style="2"/>
    <col min="28" max="28" width="11.5" style="2" customWidth="1"/>
    <col min="29" max="29" width="14.1640625" style="2" bestFit="1" customWidth="1"/>
    <col min="30" max="16384" width="10.6640625" style="2"/>
  </cols>
  <sheetData>
    <row r="1" spans="1:84" customForma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</row>
    <row r="2" spans="1:84" customFormat="1" x14ac:dyDescent="0.2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</row>
    <row r="3" spans="1:84" customForma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1:84" customForma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</row>
    <row r="5" spans="1:84" customForma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</row>
    <row r="8" spans="1:84" x14ac:dyDescent="0.2">
      <c r="B8" s="2" t="s">
        <v>33</v>
      </c>
    </row>
    <row r="9" spans="1:84" x14ac:dyDescent="0.2">
      <c r="A9" s="22"/>
      <c r="B9" s="22"/>
      <c r="C9" s="22"/>
      <c r="D9" s="22"/>
      <c r="E9" s="22"/>
      <c r="F9" s="22"/>
      <c r="G9" s="22"/>
      <c r="H9" s="23" t="s">
        <v>12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84" ht="17" x14ac:dyDescent="0.2">
      <c r="A10" s="11" t="s">
        <v>1</v>
      </c>
      <c r="B10" s="9"/>
      <c r="C10" s="10">
        <v>2015</v>
      </c>
      <c r="D10" s="10">
        <v>2016</v>
      </c>
      <c r="E10" s="10">
        <v>2017</v>
      </c>
      <c r="F10" s="10">
        <v>2018</v>
      </c>
      <c r="G10" s="10">
        <v>2019</v>
      </c>
      <c r="H10" s="10">
        <v>2020</v>
      </c>
      <c r="I10" s="10">
        <v>2021</v>
      </c>
      <c r="J10" s="10">
        <v>2022</v>
      </c>
      <c r="K10" s="10">
        <v>2023</v>
      </c>
      <c r="L10" s="10">
        <v>2024</v>
      </c>
      <c r="M10" s="10">
        <v>2025</v>
      </c>
      <c r="N10" s="10">
        <v>2026</v>
      </c>
      <c r="O10" s="10">
        <v>2027</v>
      </c>
      <c r="P10" s="10">
        <v>2028</v>
      </c>
      <c r="Q10" s="10">
        <v>2029</v>
      </c>
      <c r="R10" s="10">
        <v>2030</v>
      </c>
      <c r="S10" s="10">
        <v>2031</v>
      </c>
      <c r="T10" s="10">
        <v>2032</v>
      </c>
      <c r="U10" s="10">
        <v>2033</v>
      </c>
      <c r="V10" s="10">
        <v>2034</v>
      </c>
      <c r="W10" s="10">
        <v>2035</v>
      </c>
      <c r="X10" s="10">
        <v>2036</v>
      </c>
      <c r="Y10" s="10">
        <v>2037</v>
      </c>
      <c r="Z10" s="10">
        <v>2038</v>
      </c>
      <c r="AA10" s="10">
        <v>2039</v>
      </c>
      <c r="AB10" s="10">
        <v>2040</v>
      </c>
      <c r="AC10" s="10" t="s">
        <v>17</v>
      </c>
    </row>
    <row r="11" spans="1:84" x14ac:dyDescent="0.2">
      <c r="A11" s="11"/>
      <c r="B11" s="9" t="s">
        <v>21</v>
      </c>
      <c r="C11" s="36">
        <v>99126</v>
      </c>
      <c r="D11" s="36">
        <v>123768</v>
      </c>
      <c r="E11" s="36">
        <v>160407</v>
      </c>
      <c r="F11" s="36">
        <v>207232</v>
      </c>
      <c r="G11" s="36">
        <v>245496</v>
      </c>
      <c r="H11" s="12">
        <f>G11*(1+H12)</f>
        <v>334011.09999999998</v>
      </c>
      <c r="I11" s="12">
        <f>H11*(1+I12)</f>
        <v>390090.2</v>
      </c>
      <c r="J11" s="12">
        <f>I11*(1+J12)</f>
        <v>452291.59999999992</v>
      </c>
      <c r="K11" s="12">
        <f>J11*(1+K12)</f>
        <v>518564.89999999997</v>
      </c>
      <c r="L11" s="12">
        <f>K11*(1+L12)</f>
        <v>591163.98600000003</v>
      </c>
      <c r="M11" s="12">
        <f>L11*(1+M12)</f>
        <v>668015.30417999998</v>
      </c>
      <c r="N11" s="12">
        <f>M11*(1+N12)</f>
        <v>748177.14068160008</v>
      </c>
      <c r="O11" s="12">
        <f>N11*(1+O12)</f>
        <v>830476.62615657621</v>
      </c>
      <c r="P11" s="12">
        <f>O11*(1+P12)</f>
        <v>913524.28877223388</v>
      </c>
      <c r="Q11" s="12">
        <f>P11*(1+Q12)</f>
        <v>1000309.0962055961</v>
      </c>
      <c r="R11" s="12">
        <f>Q11*(1+R12)</f>
        <v>1090336.9148640998</v>
      </c>
      <c r="S11" s="12">
        <f>R11*(1+S12)</f>
        <v>1183015.5526275483</v>
      </c>
      <c r="T11" s="12">
        <f>S11*(1+T12)</f>
        <v>1277656.7968377522</v>
      </c>
      <c r="U11" s="12">
        <f>T11*(1+U12)</f>
        <v>1373481.0566005835</v>
      </c>
      <c r="V11" s="12">
        <f>U11*(1+V12)</f>
        <v>1469624.7305626245</v>
      </c>
      <c r="W11" s="12">
        <f>V11*(1+W12)</f>
        <v>1565150.338049195</v>
      </c>
      <c r="X11" s="12">
        <f>W11*(1+X12)</f>
        <v>1659059.3583321469</v>
      </c>
      <c r="Y11" s="12">
        <f>X11*(1+Y12)</f>
        <v>1750307.6230404149</v>
      </c>
      <c r="Z11" s="12">
        <f>Y11*(1+Z12)</f>
        <v>1837823.0041924356</v>
      </c>
      <c r="AA11" s="12">
        <f>Z11*(1+AA12)</f>
        <v>1920525.0393810952</v>
      </c>
      <c r="AB11" s="12">
        <f>AA11*(1+AB12)</f>
        <v>1997346.0409563386</v>
      </c>
      <c r="AC11" s="12"/>
    </row>
    <row r="12" spans="1:84" x14ac:dyDescent="0.2">
      <c r="A12" s="11"/>
      <c r="B12" s="9" t="s">
        <v>23</v>
      </c>
      <c r="C12" s="13"/>
      <c r="D12" s="13">
        <f>D11/C11-1</f>
        <v>0.24859270019974589</v>
      </c>
      <c r="E12" s="13">
        <f>E11/D11-1</f>
        <v>0.29602966841186729</v>
      </c>
      <c r="F12" s="13">
        <f>F11/E11-1</f>
        <v>0.2919136945395151</v>
      </c>
      <c r="G12" s="13">
        <f>G11/F11-1</f>
        <v>0.18464329833230386</v>
      </c>
      <c r="H12" s="1">
        <v>0.36055618014142787</v>
      </c>
      <c r="I12" s="1">
        <v>0.16789591723149333</v>
      </c>
      <c r="J12" s="1">
        <v>0.15945389040791058</v>
      </c>
      <c r="K12" s="1">
        <v>0.14652781524131786</v>
      </c>
      <c r="L12" s="1">
        <v>0.14000000000000001</v>
      </c>
      <c r="M12" s="1">
        <v>0.13</v>
      </c>
      <c r="N12" s="1">
        <v>0.12</v>
      </c>
      <c r="O12" s="1">
        <v>0.11</v>
      </c>
      <c r="P12" s="1">
        <v>0.1</v>
      </c>
      <c r="Q12" s="1">
        <v>9.5000000000000001E-2</v>
      </c>
      <c r="R12" s="1">
        <v>0.09</v>
      </c>
      <c r="S12" s="1">
        <v>8.5000000000000006E-2</v>
      </c>
      <c r="T12" s="1">
        <v>0.08</v>
      </c>
      <c r="U12" s="1">
        <v>7.4999999999999997E-2</v>
      </c>
      <c r="V12" s="1">
        <v>7.0000000000000007E-2</v>
      </c>
      <c r="W12" s="1">
        <v>6.5000000000000002E-2</v>
      </c>
      <c r="X12" s="1">
        <v>0.06</v>
      </c>
      <c r="Y12" s="1">
        <v>5.5E-2</v>
      </c>
      <c r="Z12" s="1">
        <v>0.05</v>
      </c>
      <c r="AA12" s="1">
        <v>4.4999999999999998E-2</v>
      </c>
      <c r="AB12" s="1">
        <v>3.9999999999999897E-2</v>
      </c>
      <c r="AC12" s="1">
        <v>0.03</v>
      </c>
    </row>
    <row r="13" spans="1:84" x14ac:dyDescent="0.2">
      <c r="A13" s="11"/>
      <c r="B13" s="9" t="s">
        <v>24</v>
      </c>
      <c r="C13" s="13">
        <f>C14/C11</f>
        <v>7.3240118636886389E-3</v>
      </c>
      <c r="D13" s="13">
        <f>D14/D11</f>
        <v>8.7098442246784299E-3</v>
      </c>
      <c r="E13" s="13">
        <f>E14/E11</f>
        <v>-1.4026819278460416E-3</v>
      </c>
      <c r="F13" s="13">
        <f>F14/F11</f>
        <v>2.4730736565781345E-2</v>
      </c>
      <c r="G13" s="13">
        <f>G14/G11</f>
        <v>2.1751881904389481E-2</v>
      </c>
      <c r="H13" s="1">
        <v>2.7E-2</v>
      </c>
      <c r="I13" s="1">
        <v>0.03</v>
      </c>
      <c r="J13" s="1">
        <v>3.5000000000000003E-2</v>
      </c>
      <c r="K13" s="1">
        <v>4.4999999999999998E-2</v>
      </c>
      <c r="L13" s="1">
        <v>5.5E-2</v>
      </c>
      <c r="M13" s="1">
        <v>0.06</v>
      </c>
      <c r="N13" s="1">
        <v>6.5000000000000002E-2</v>
      </c>
      <c r="O13" s="1">
        <v>7.0000000000000007E-2</v>
      </c>
      <c r="P13" s="1">
        <v>7.4999999999999997E-2</v>
      </c>
      <c r="Q13" s="1">
        <v>0.08</v>
      </c>
      <c r="R13" s="1">
        <v>8.5000000000000006E-2</v>
      </c>
      <c r="S13" s="1">
        <v>8.5000000000000006E-2</v>
      </c>
      <c r="T13" s="1">
        <v>8.5000000000000006E-2</v>
      </c>
      <c r="U13" s="1">
        <v>8.5000000000000006E-2</v>
      </c>
      <c r="V13" s="1">
        <v>8.5000000000000006E-2</v>
      </c>
      <c r="W13" s="1">
        <v>8.5000000000000006E-2</v>
      </c>
      <c r="X13" s="1">
        <v>8.5000000000000006E-2</v>
      </c>
      <c r="Y13" s="1">
        <v>8.5000000000000006E-2</v>
      </c>
      <c r="Z13" s="1">
        <v>8.5000000000000006E-2</v>
      </c>
      <c r="AA13" s="1">
        <v>8.5000000000000006E-2</v>
      </c>
      <c r="AB13" s="1">
        <v>8.5000000000000006E-2</v>
      </c>
      <c r="AC13" s="1"/>
    </row>
    <row r="14" spans="1:84" ht="16" customHeight="1" x14ac:dyDescent="0.2">
      <c r="A14" s="11"/>
      <c r="B14" s="9" t="s">
        <v>22</v>
      </c>
      <c r="C14" s="36">
        <v>726</v>
      </c>
      <c r="D14" s="36">
        <v>1078</v>
      </c>
      <c r="E14" s="36">
        <v>-225</v>
      </c>
      <c r="F14" s="36">
        <f>7267-2142</f>
        <v>5125</v>
      </c>
      <c r="G14" s="36">
        <v>5340</v>
      </c>
      <c r="H14" s="12">
        <f>H11*H13</f>
        <v>9018.2996999999996</v>
      </c>
      <c r="I14" s="12">
        <f>I11*I13</f>
        <v>11702.706</v>
      </c>
      <c r="J14" s="12">
        <f>J11*J13</f>
        <v>15830.205999999998</v>
      </c>
      <c r="K14" s="12">
        <f>K11*K13</f>
        <v>23335.420499999997</v>
      </c>
      <c r="L14" s="12">
        <f>L11*L13</f>
        <v>32514.019230000002</v>
      </c>
      <c r="M14" s="12">
        <f>M11*M13</f>
        <v>40080.918250799994</v>
      </c>
      <c r="N14" s="12">
        <f>N11*N13</f>
        <v>48631.514144304005</v>
      </c>
      <c r="O14" s="12">
        <f>O11*O13</f>
        <v>58133.363830960341</v>
      </c>
      <c r="P14" s="12">
        <f>P11*P13</f>
        <v>68514.321657917535</v>
      </c>
      <c r="Q14" s="12">
        <f>Q11*Q13</f>
        <v>80024.727696447691</v>
      </c>
      <c r="R14" s="12">
        <f>R11*R13</f>
        <v>92678.637763448496</v>
      </c>
      <c r="S14" s="12">
        <f>S11*S13</f>
        <v>100556.32197334162</v>
      </c>
      <c r="T14" s="12">
        <f>T11*T13</f>
        <v>108600.82773120895</v>
      </c>
      <c r="U14" s="12">
        <f>U11*U13</f>
        <v>116745.88981104961</v>
      </c>
      <c r="V14" s="12">
        <f>V11*V13</f>
        <v>124918.1020978231</v>
      </c>
      <c r="W14" s="12">
        <f>W11*W13</f>
        <v>133037.77873418157</v>
      </c>
      <c r="X14" s="12">
        <f>X11*X13</f>
        <v>141020.04545823249</v>
      </c>
      <c r="Y14" s="12">
        <f>Y11*Y13</f>
        <v>148776.14795843526</v>
      </c>
      <c r="Z14" s="12">
        <f>Z11*Z13</f>
        <v>156214.95535635704</v>
      </c>
      <c r="AA14" s="12">
        <f>AA11*AA13</f>
        <v>163244.6283473931</v>
      </c>
      <c r="AB14" s="12">
        <f>AB11*AB13</f>
        <v>169774.41348128879</v>
      </c>
      <c r="AC14" s="1"/>
    </row>
    <row r="15" spans="1:84" x14ac:dyDescent="0.2">
      <c r="A15" s="11"/>
      <c r="B15" s="38" t="s">
        <v>18</v>
      </c>
      <c r="C15" s="39">
        <v>7880</v>
      </c>
      <c r="D15" s="39">
        <v>12219</v>
      </c>
      <c r="E15" s="39">
        <v>17459</v>
      </c>
      <c r="F15" s="39">
        <v>25655</v>
      </c>
      <c r="G15" s="39">
        <v>35026</v>
      </c>
      <c r="H15" s="40">
        <f>G15*(1+H16)</f>
        <v>45363.9</v>
      </c>
      <c r="I15" s="40">
        <f>H15*(1+I16)</f>
        <v>57726.80000000001</v>
      </c>
      <c r="J15" s="40">
        <f>I15*(1+J16)</f>
        <v>72067.400000000009</v>
      </c>
      <c r="K15" s="40">
        <f>J15*(1+K16)</f>
        <v>87866.10000000002</v>
      </c>
      <c r="L15" s="40">
        <f>K15*(1+L16)</f>
        <v>106317.98100000001</v>
      </c>
      <c r="M15" s="40">
        <f>L15*(1+M16)</f>
        <v>127581.57720000001</v>
      </c>
      <c r="N15" s="40">
        <f>M15*(1+N16)</f>
        <v>151822.076868</v>
      </c>
      <c r="O15" s="40">
        <f>N15*(1+O16)</f>
        <v>179150.05070423998</v>
      </c>
      <c r="P15" s="40">
        <f>O15*(1+P16)</f>
        <v>209605.55932396077</v>
      </c>
      <c r="Q15" s="40">
        <f>P15*(1+Q16)</f>
        <v>243142.44881579449</v>
      </c>
      <c r="R15" s="40">
        <f>Q15*(1+R16)</f>
        <v>279613.81613816362</v>
      </c>
      <c r="S15" s="40">
        <f>R15*(1+S16)</f>
        <v>318759.75039750658</v>
      </c>
      <c r="T15" s="40">
        <f>S15*(1+T16)</f>
        <v>360198.51794918242</v>
      </c>
      <c r="U15" s="40">
        <f>T15*(1+U16)</f>
        <v>403422.34010308434</v>
      </c>
      <c r="V15" s="40">
        <f>U15*(1+V16)</f>
        <v>447798.79751442367</v>
      </c>
      <c r="W15" s="40">
        <f>V15*(1+W16)</f>
        <v>492578.67726586608</v>
      </c>
      <c r="X15" s="40">
        <f>W15*(1+X16)</f>
        <v>536910.75821979402</v>
      </c>
      <c r="Y15" s="40">
        <f>X15*(1+Y16)</f>
        <v>579863.61887737759</v>
      </c>
      <c r="Z15" s="40">
        <f>Y15*(1+Z16)</f>
        <v>620454.07219879411</v>
      </c>
      <c r="AA15" s="40">
        <f>Z15*(1+AA16)</f>
        <v>657681.31653072184</v>
      </c>
      <c r="AB15" s="40">
        <f>AA15*(1+AB16)</f>
        <v>690565.382357258</v>
      </c>
      <c r="AC15" s="40"/>
    </row>
    <row r="16" spans="1:84" x14ac:dyDescent="0.2">
      <c r="A16" s="11"/>
      <c r="B16" s="9" t="s">
        <v>25</v>
      </c>
      <c r="C16" s="13"/>
      <c r="D16" s="13">
        <f>D15/C15-1</f>
        <v>0.55063451776649752</v>
      </c>
      <c r="E16" s="13">
        <f>E15/D15-1</f>
        <v>0.42884033063262139</v>
      </c>
      <c r="F16" s="13">
        <f>F15/E15-1</f>
        <v>0.46944269431238905</v>
      </c>
      <c r="G16" s="13">
        <f>G15/F15-1</f>
        <v>0.36526992788930035</v>
      </c>
      <c r="H16" s="1">
        <v>0.29514931764974595</v>
      </c>
      <c r="I16" s="1">
        <v>0.27252727388959075</v>
      </c>
      <c r="J16" s="1">
        <v>0.24842187684056616</v>
      </c>
      <c r="K16" s="1">
        <v>0.21922117351257309</v>
      </c>
      <c r="L16" s="1">
        <v>0.21</v>
      </c>
      <c r="M16" s="1">
        <v>0.2</v>
      </c>
      <c r="N16" s="1">
        <v>0.19</v>
      </c>
      <c r="O16" s="1">
        <v>0.18</v>
      </c>
      <c r="P16" s="1">
        <v>0.17</v>
      </c>
      <c r="Q16" s="1">
        <v>0.16</v>
      </c>
      <c r="R16" s="1">
        <v>0.15</v>
      </c>
      <c r="S16" s="1">
        <v>0.14000000000000001</v>
      </c>
      <c r="T16" s="1">
        <v>0.13</v>
      </c>
      <c r="U16" s="1">
        <v>0.12</v>
      </c>
      <c r="V16" s="1">
        <v>0.11</v>
      </c>
      <c r="W16" s="1">
        <v>0.1</v>
      </c>
      <c r="X16" s="1">
        <v>0.09</v>
      </c>
      <c r="Y16" s="1">
        <v>0.08</v>
      </c>
      <c r="Z16" s="1">
        <v>7.0000000000000007E-2</v>
      </c>
      <c r="AA16" s="1">
        <v>0.06</v>
      </c>
      <c r="AB16" s="1">
        <v>0.05</v>
      </c>
      <c r="AC16" s="1"/>
    </row>
    <row r="17" spans="1:29" ht="16" customHeight="1" x14ac:dyDescent="0.2">
      <c r="A17" s="11"/>
      <c r="B17" s="9" t="s">
        <v>26</v>
      </c>
      <c r="C17" s="13">
        <f>C18/C15</f>
        <v>0.19124365482233502</v>
      </c>
      <c r="D17" s="13">
        <f>D18/D15</f>
        <v>0.25435796710041736</v>
      </c>
      <c r="E17" s="13">
        <f>E18/E15</f>
        <v>0.24806689959333295</v>
      </c>
      <c r="F17" s="13">
        <f>F18/F15</f>
        <v>0.28438900799064509</v>
      </c>
      <c r="G17" s="13">
        <f>G18/G15</f>
        <v>0.26269057271740992</v>
      </c>
      <c r="H17" s="1">
        <v>0.30499999999999999</v>
      </c>
      <c r="I17" s="1">
        <v>0.31</v>
      </c>
      <c r="J17" s="1">
        <v>0.315</v>
      </c>
      <c r="K17" s="1">
        <v>0.32</v>
      </c>
      <c r="L17" s="1">
        <v>0.32500000000000001</v>
      </c>
      <c r="M17" s="1">
        <v>0.33</v>
      </c>
      <c r="N17" s="1">
        <v>0.33500000000000002</v>
      </c>
      <c r="O17" s="1">
        <v>0.34</v>
      </c>
      <c r="P17" s="1">
        <v>0.34499999999999997</v>
      </c>
      <c r="Q17" s="1">
        <v>0.35</v>
      </c>
      <c r="R17" s="1">
        <v>0.35</v>
      </c>
      <c r="S17" s="1">
        <v>0.35</v>
      </c>
      <c r="T17" s="1">
        <v>0.35</v>
      </c>
      <c r="U17" s="1">
        <v>0.35</v>
      </c>
      <c r="V17" s="1">
        <v>0.35</v>
      </c>
      <c r="W17" s="1">
        <v>0.35</v>
      </c>
      <c r="X17" s="1">
        <v>0.35</v>
      </c>
      <c r="Y17" s="1">
        <v>0.35</v>
      </c>
      <c r="Z17" s="1">
        <v>0.35</v>
      </c>
      <c r="AA17" s="1">
        <v>0.35</v>
      </c>
      <c r="AB17" s="1">
        <v>0.35</v>
      </c>
      <c r="AC17" s="1"/>
    </row>
    <row r="18" spans="1:29" ht="17" customHeight="1" x14ac:dyDescent="0.2">
      <c r="A18" s="11"/>
      <c r="B18" s="9" t="s">
        <v>19</v>
      </c>
      <c r="C18" s="36">
        <v>1507</v>
      </c>
      <c r="D18" s="36">
        <v>3108</v>
      </c>
      <c r="E18" s="36">
        <v>4331</v>
      </c>
      <c r="F18" s="36">
        <v>7296</v>
      </c>
      <c r="G18" s="36">
        <v>9201</v>
      </c>
      <c r="H18" s="12">
        <f>H15*H17</f>
        <v>13835.9895</v>
      </c>
      <c r="I18" s="12">
        <f>I15*I17</f>
        <v>17895.308000000005</v>
      </c>
      <c r="J18" s="12">
        <f>J15*J17</f>
        <v>22701.231000000003</v>
      </c>
      <c r="K18" s="12">
        <f>K15*K17</f>
        <v>28117.152000000006</v>
      </c>
      <c r="L18" s="12">
        <f>L15*L17</f>
        <v>34553.343825000004</v>
      </c>
      <c r="M18" s="12">
        <f>M15*M17</f>
        <v>42101.920476000007</v>
      </c>
      <c r="N18" s="12">
        <f>N15*N17</f>
        <v>50860.395750780008</v>
      </c>
      <c r="O18" s="12">
        <f>O15*O17</f>
        <v>60911.0172394416</v>
      </c>
      <c r="P18" s="12">
        <f>P15*P17</f>
        <v>72313.917966766458</v>
      </c>
      <c r="Q18" s="12">
        <f>Q15*Q17</f>
        <v>85099.85708552807</v>
      </c>
      <c r="R18" s="12">
        <f>R15*R17</f>
        <v>97864.835648357257</v>
      </c>
      <c r="S18" s="12">
        <f>S15*S17</f>
        <v>111565.9126391273</v>
      </c>
      <c r="T18" s="12">
        <f>T15*T17</f>
        <v>126069.48128221383</v>
      </c>
      <c r="U18" s="12">
        <f>U15*U17</f>
        <v>141197.81903607951</v>
      </c>
      <c r="V18" s="12">
        <f>V15*V17</f>
        <v>156729.57913004828</v>
      </c>
      <c r="W18" s="12">
        <f>W15*W17</f>
        <v>172402.5370430531</v>
      </c>
      <c r="X18" s="12">
        <f>X15*X17</f>
        <v>187918.76537692788</v>
      </c>
      <c r="Y18" s="12">
        <f>Y15*Y17</f>
        <v>202952.26660708216</v>
      </c>
      <c r="Z18" s="12">
        <f>Z15*Z17</f>
        <v>217158.92526957791</v>
      </c>
      <c r="AA18" s="12">
        <f>AA15*AA17</f>
        <v>230188.46078575263</v>
      </c>
      <c r="AB18" s="12">
        <f>AB15*AB17</f>
        <v>241697.88382504028</v>
      </c>
      <c r="AC18" s="12"/>
    </row>
    <row r="19" spans="1:29" ht="17" hidden="1" customHeight="1" x14ac:dyDescent="0.2">
      <c r="A19" s="11"/>
      <c r="B19" s="9" t="s">
        <v>9</v>
      </c>
      <c r="C19" s="35"/>
      <c r="D19" s="36"/>
      <c r="E19" s="36"/>
      <c r="F19" s="36"/>
      <c r="G19" s="36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12"/>
    </row>
    <row r="20" spans="1:29" ht="17" hidden="1" customHeight="1" x14ac:dyDescent="0.2">
      <c r="A20" s="1">
        <v>0</v>
      </c>
      <c r="B20" s="9" t="s">
        <v>13</v>
      </c>
      <c r="C20" s="35"/>
      <c r="D20" s="36"/>
      <c r="E20" s="36"/>
      <c r="F20" s="36"/>
      <c r="G20" s="36"/>
      <c r="H20" s="12">
        <f>-$A$20*H19</f>
        <v>0</v>
      </c>
      <c r="I20" s="12">
        <f t="shared" ref="I20:AB20" si="0">-$A$20*I19</f>
        <v>0</v>
      </c>
      <c r="J20" s="12">
        <f t="shared" si="0"/>
        <v>0</v>
      </c>
      <c r="K20" s="12">
        <f t="shared" si="0"/>
        <v>0</v>
      </c>
      <c r="L20" s="12">
        <f t="shared" si="0"/>
        <v>0</v>
      </c>
      <c r="M20" s="12">
        <f t="shared" si="0"/>
        <v>0</v>
      </c>
      <c r="N20" s="12">
        <f t="shared" si="0"/>
        <v>0</v>
      </c>
      <c r="O20" s="12">
        <f t="shared" si="0"/>
        <v>0</v>
      </c>
      <c r="P20" s="12">
        <f t="shared" si="0"/>
        <v>0</v>
      </c>
      <c r="Q20" s="12">
        <f t="shared" si="0"/>
        <v>0</v>
      </c>
      <c r="R20" s="12">
        <f t="shared" si="0"/>
        <v>0</v>
      </c>
      <c r="S20" s="12">
        <f t="shared" si="0"/>
        <v>0</v>
      </c>
      <c r="T20" s="12">
        <f t="shared" si="0"/>
        <v>0</v>
      </c>
      <c r="U20" s="12">
        <f t="shared" si="0"/>
        <v>0</v>
      </c>
      <c r="V20" s="12">
        <f t="shared" si="0"/>
        <v>0</v>
      </c>
      <c r="W20" s="12">
        <f t="shared" si="0"/>
        <v>0</v>
      </c>
      <c r="X20" s="12">
        <f t="shared" si="0"/>
        <v>0</v>
      </c>
      <c r="Y20" s="12">
        <f t="shared" si="0"/>
        <v>0</v>
      </c>
      <c r="Z20" s="12">
        <f t="shared" si="0"/>
        <v>0</v>
      </c>
      <c r="AA20" s="12">
        <f t="shared" si="0"/>
        <v>0</v>
      </c>
      <c r="AB20" s="12">
        <f t="shared" si="0"/>
        <v>0</v>
      </c>
      <c r="AC20" s="12"/>
    </row>
    <row r="21" spans="1:29" x14ac:dyDescent="0.2">
      <c r="A21" s="1">
        <v>0.21</v>
      </c>
      <c r="B21" s="38" t="s">
        <v>20</v>
      </c>
      <c r="C21" s="41"/>
      <c r="D21" s="39"/>
      <c r="E21" s="39"/>
      <c r="F21" s="39"/>
      <c r="G21" s="39"/>
      <c r="H21" s="40">
        <f>(H14+H18+H20)*(1-$A$21)</f>
        <v>18054.888468000001</v>
      </c>
      <c r="I21" s="40">
        <f>(I14+I18+I20)*(1-$A$21)</f>
        <v>23382.431060000003</v>
      </c>
      <c r="J21" s="40">
        <f>(J14+J18+J20)*(1-$A$21)</f>
        <v>30439.835230000004</v>
      </c>
      <c r="K21" s="40">
        <f>(K14+K18+K20)*(1-$A$21)</f>
        <v>40647.532275000005</v>
      </c>
      <c r="L21" s="40">
        <f>(L14+L18+L20)*(1-$A$21)</f>
        <v>52983.21681345001</v>
      </c>
      <c r="M21" s="40">
        <f>(M14+M18+M20)*(1-$A$21)</f>
        <v>64924.442594171996</v>
      </c>
      <c r="N21" s="40">
        <f>(N14+N18+N20)*(1-$A$21)</f>
        <v>78598.608817116372</v>
      </c>
      <c r="O21" s="40">
        <f>(O14+O18+O20)*(1-$A$21)</f>
        <v>94045.061045617535</v>
      </c>
      <c r="P21" s="40">
        <f>(P14+P18+P20)*(1-$A$21)</f>
        <v>111254.30930350035</v>
      </c>
      <c r="Q21" s="40">
        <f>(Q14+Q18+Q20)*(1-$A$21)</f>
        <v>130448.42197776087</v>
      </c>
      <c r="R21" s="40">
        <f>(R14+R18+R20)*(1-$A$21)</f>
        <v>150529.34399532655</v>
      </c>
      <c r="S21" s="40">
        <f>(S14+S18+S20)*(1-$A$21)</f>
        <v>167576.56534385047</v>
      </c>
      <c r="T21" s="40">
        <f>(T14+T18+T20)*(1-$A$21)</f>
        <v>185389.544120604</v>
      </c>
      <c r="U21" s="40">
        <f>(U14+U18+U20)*(1-$A$21)</f>
        <v>203775.52998923202</v>
      </c>
      <c r="V21" s="40">
        <f>(V14+V18+V20)*(1-$A$21)</f>
        <v>222501.66817001841</v>
      </c>
      <c r="W21" s="40">
        <f>(W14+W18+W20)*(1-$A$21)</f>
        <v>241297.84946401539</v>
      </c>
      <c r="X21" s="40">
        <f>(X14+X18+X20)*(1-$A$21)</f>
        <v>259861.6605597767</v>
      </c>
      <c r="Y21" s="40">
        <f>(Y14+Y18+Y20)*(1-$A$21)</f>
        <v>277865.44750675879</v>
      </c>
      <c r="Z21" s="40">
        <f>(Z14+Z18+Z20)*(1-$A$21)</f>
        <v>294965.36569448857</v>
      </c>
      <c r="AA21" s="40">
        <f>(AA14+AA18+AA20)*(1-$A$21)</f>
        <v>310812.14041518513</v>
      </c>
      <c r="AB21" s="40">
        <f>(AB14+AB18+AB20)*(1-$A$21)</f>
        <v>325063.11487200001</v>
      </c>
      <c r="AC21" s="39">
        <f>AB21*(1+AC12)/(C32-AC12)</f>
        <v>4783071.547402286</v>
      </c>
    </row>
    <row r="22" spans="1:29" x14ac:dyDescent="0.2">
      <c r="A22" s="4"/>
      <c r="B22" s="18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9" x14ac:dyDescent="0.2">
      <c r="A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9" x14ac:dyDescent="0.2">
      <c r="A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9" x14ac:dyDescent="0.2">
      <c r="A25" s="25"/>
      <c r="B25" s="22"/>
      <c r="C25" s="26">
        <v>44175</v>
      </c>
      <c r="D25" s="27" t="s">
        <v>3</v>
      </c>
      <c r="E25" s="28"/>
      <c r="F25" s="5"/>
      <c r="G25" s="29" t="s">
        <v>5</v>
      </c>
      <c r="H25" s="29"/>
      <c r="I25" s="29"/>
      <c r="J25" s="30"/>
      <c r="K25" s="30"/>
      <c r="L25" s="30"/>
      <c r="M25" s="5"/>
      <c r="N25" s="5"/>
      <c r="O25" s="5"/>
      <c r="P25" s="5"/>
      <c r="Q25" s="5"/>
      <c r="R25" s="5"/>
    </row>
    <row r="26" spans="1:29" ht="17" x14ac:dyDescent="0.2">
      <c r="A26" s="11" t="s">
        <v>0</v>
      </c>
      <c r="B26" s="9" t="s">
        <v>28</v>
      </c>
      <c r="C26" s="12">
        <f>C27*C28</f>
        <v>1586320</v>
      </c>
      <c r="D26" s="12">
        <f>NPV($C$32,H21:AB21)+AC21/(1+C32)^(2040-2020)</f>
        <v>1607611.3221360119</v>
      </c>
      <c r="E26" s="9" t="s">
        <v>8</v>
      </c>
      <c r="G26" s="19"/>
      <c r="H26" s="20" t="s">
        <v>29</v>
      </c>
      <c r="I26" s="20"/>
      <c r="J26" s="14">
        <f>R21</f>
        <v>150529.34399532655</v>
      </c>
      <c r="K26" s="20" t="s">
        <v>8</v>
      </c>
      <c r="L26" s="20"/>
    </row>
    <row r="27" spans="1:29" x14ac:dyDescent="0.2">
      <c r="A27" s="11"/>
      <c r="B27" s="9" t="s">
        <v>27</v>
      </c>
      <c r="C27" s="21">
        <v>502</v>
      </c>
      <c r="D27" s="12">
        <f>C27*(1)</f>
        <v>502</v>
      </c>
      <c r="E27" s="9"/>
      <c r="G27" s="20"/>
      <c r="H27" s="20" t="s">
        <v>6</v>
      </c>
      <c r="I27" s="20"/>
      <c r="J27" s="32">
        <v>30</v>
      </c>
      <c r="K27" s="20"/>
      <c r="L27" s="20"/>
    </row>
    <row r="28" spans="1:29" x14ac:dyDescent="0.2">
      <c r="A28" s="11"/>
      <c r="B28" s="9" t="s">
        <v>4</v>
      </c>
      <c r="C28" s="32">
        <v>3160</v>
      </c>
      <c r="D28" s="33">
        <f>D26/(D27)</f>
        <v>3202.4129923028127</v>
      </c>
      <c r="E28" s="9" t="s">
        <v>8</v>
      </c>
      <c r="G28" s="20"/>
      <c r="H28" s="20" t="s">
        <v>16</v>
      </c>
      <c r="I28" s="20"/>
      <c r="J28" s="34">
        <v>0</v>
      </c>
      <c r="K28" s="9"/>
      <c r="L28" s="20"/>
      <c r="S28" s="7"/>
    </row>
    <row r="29" spans="1:29" x14ac:dyDescent="0.2">
      <c r="A29" s="11"/>
      <c r="B29" s="9" t="s">
        <v>2</v>
      </c>
      <c r="C29" s="9"/>
      <c r="D29" s="17">
        <f>D28/C28-1</f>
        <v>1.3421833007219108E-2</v>
      </c>
      <c r="E29" s="9"/>
      <c r="F29" s="6"/>
      <c r="G29" s="20"/>
      <c r="H29" s="20" t="s">
        <v>30</v>
      </c>
      <c r="I29" s="20"/>
      <c r="J29" s="35">
        <f>C26</f>
        <v>1586320</v>
      </c>
      <c r="K29" s="20" t="s">
        <v>8</v>
      </c>
      <c r="L29" s="20"/>
      <c r="R29" s="8"/>
    </row>
    <row r="30" spans="1:29" x14ac:dyDescent="0.2">
      <c r="A30" s="11"/>
      <c r="B30" s="9"/>
      <c r="C30" s="9"/>
      <c r="D30" s="10"/>
      <c r="E30" s="9"/>
      <c r="F30" s="6"/>
      <c r="G30" s="20"/>
      <c r="H30" s="20" t="s">
        <v>31</v>
      </c>
      <c r="I30" s="20"/>
      <c r="J30" s="14">
        <f>SUM(H21:R21)*J28</f>
        <v>0</v>
      </c>
      <c r="K30" s="20" t="s">
        <v>8</v>
      </c>
      <c r="L30" s="20"/>
      <c r="R30" s="8"/>
    </row>
    <row r="31" spans="1:29" x14ac:dyDescent="0.2">
      <c r="A31" s="9"/>
      <c r="B31" s="9"/>
      <c r="C31" s="9"/>
      <c r="D31" s="10"/>
      <c r="E31" s="10"/>
      <c r="G31" s="20"/>
      <c r="H31" s="20" t="s">
        <v>32</v>
      </c>
      <c r="I31" s="20"/>
      <c r="J31" s="14">
        <f>J27*J26</f>
        <v>4515880.3198597962</v>
      </c>
      <c r="K31" s="20" t="s">
        <v>8</v>
      </c>
      <c r="L31" s="20"/>
      <c r="M31" s="3"/>
      <c r="N31" s="3"/>
      <c r="O31" s="3"/>
      <c r="P31" s="3"/>
      <c r="Q31" s="3"/>
      <c r="R31" s="3"/>
      <c r="S31" s="3"/>
      <c r="T31" s="3"/>
      <c r="U31" s="3"/>
    </row>
    <row r="32" spans="1:29" x14ac:dyDescent="0.2">
      <c r="A32" s="9"/>
      <c r="B32" s="10" t="s">
        <v>11</v>
      </c>
      <c r="C32" s="1">
        <v>0.1</v>
      </c>
      <c r="D32" s="16"/>
      <c r="E32" s="9"/>
      <c r="G32" s="20"/>
      <c r="H32" s="20" t="s">
        <v>15</v>
      </c>
      <c r="I32" s="20"/>
      <c r="J32" s="14">
        <f>J31+J30</f>
        <v>4515880.3198597962</v>
      </c>
      <c r="K32" s="20" t="s">
        <v>8</v>
      </c>
      <c r="L32" s="20"/>
    </row>
    <row r="33" spans="1:22" x14ac:dyDescent="0.2">
      <c r="A33" s="9"/>
      <c r="B33" s="15"/>
      <c r="C33" s="13"/>
      <c r="D33" s="9"/>
      <c r="E33" s="9"/>
      <c r="G33" s="20"/>
      <c r="H33" s="20" t="s">
        <v>14</v>
      </c>
      <c r="I33" s="20"/>
      <c r="J33" s="17">
        <f>(J32/J29)^0.1-1</f>
        <v>0.11028676369155876</v>
      </c>
      <c r="K33" s="20"/>
      <c r="L33" s="20"/>
    </row>
    <row r="34" spans="1:22" x14ac:dyDescent="0.2">
      <c r="G34" s="9"/>
      <c r="H34" s="9"/>
      <c r="I34" s="9"/>
      <c r="J34" s="9"/>
      <c r="K34" s="9"/>
      <c r="L34" s="9"/>
    </row>
    <row r="35" spans="1:22" x14ac:dyDescent="0.2">
      <c r="A35" s="22"/>
      <c r="B35" s="37" t="s">
        <v>7</v>
      </c>
      <c r="C35" s="37"/>
      <c r="D35" s="31" t="s">
        <v>2</v>
      </c>
      <c r="E35" s="22"/>
      <c r="V35" s="7"/>
    </row>
    <row r="36" spans="1:22" x14ac:dyDescent="0.2">
      <c r="A36" s="10" t="s">
        <v>10</v>
      </c>
      <c r="B36" s="9"/>
      <c r="C36" s="13">
        <v>0.04</v>
      </c>
      <c r="D36" s="17">
        <f>((NPV(C36,$H$21:$AB$21)+($AB$21*(1+$AC$12)/(C36-$AC$12))/(1+C36)^(2040-2020))/$D$27)/$C$28-1</f>
        <v>9.8110694852232125</v>
      </c>
      <c r="E36" s="9"/>
    </row>
    <row r="37" spans="1:22" x14ac:dyDescent="0.2">
      <c r="A37" s="9"/>
      <c r="B37" s="13"/>
      <c r="C37" s="13">
        <v>0.06</v>
      </c>
      <c r="D37" s="17">
        <f>((NPV(C37,$H$21:$AB$21)+($AB$21*(1+$AC$12)/(C37-$AC$12))/(1+C37)^(2040-2020))/$D$27)/$C$28-1</f>
        <v>2.1028754276690602</v>
      </c>
      <c r="E37" s="9"/>
    </row>
    <row r="38" spans="1:22" x14ac:dyDescent="0.2">
      <c r="A38" s="9"/>
      <c r="B38" s="13"/>
      <c r="C38" s="13">
        <v>0.08</v>
      </c>
      <c r="D38" s="17">
        <f>((NPV(C38,$H$21:$AB$21)+($AB$21*(1+$AC$12)/(C38-$AC$12))/(1+C38)^(2040-2020))/$D$27)/$C$28-1</f>
        <v>0.61745871346911652</v>
      </c>
      <c r="E38" s="9"/>
    </row>
    <row r="39" spans="1:22" x14ac:dyDescent="0.2">
      <c r="A39" s="9"/>
      <c r="B39" s="13"/>
      <c r="C39" s="13">
        <v>0.1</v>
      </c>
      <c r="D39" s="17">
        <f>((NPV(C39,$H$21:$AB$21)+($AB$21*(1+$AC$12)/(C39-$AC$12))/(1+C39)^(2040-2020))/$D$27)/$C$28-1</f>
        <v>1.3421833007219108E-2</v>
      </c>
      <c r="E39" s="9"/>
    </row>
    <row r="40" spans="1:22" x14ac:dyDescent="0.2">
      <c r="A40" s="9"/>
      <c r="B40" s="13"/>
      <c r="C40" s="13">
        <v>0.12</v>
      </c>
      <c r="D40" s="17">
        <f>((NPV(C40,$H$21:$AB$21)+($AB$21*(1+$AC$12)/(C40-$AC$12))/(1+C40)^(2040-2020))/$D$27)/$C$28-1</f>
        <v>-0.30181238915447139</v>
      </c>
      <c r="E40" s="9"/>
    </row>
    <row r="41" spans="1:22" x14ac:dyDescent="0.2">
      <c r="A41" s="9"/>
      <c r="B41" s="13"/>
      <c r="C41" s="13">
        <v>0.14000000000000001</v>
      </c>
      <c r="D41" s="17">
        <f>((NPV(C41,$H$21:$AB$21)+($AB$21*(1+$AC$12)/(C41-$AC$12))/(1+C41)^(2040-2020))/$D$27)/$C$28-1</f>
        <v>-0.48911366449507443</v>
      </c>
      <c r="E41" s="9"/>
    </row>
    <row r="42" spans="1:22" x14ac:dyDescent="0.2">
      <c r="A42" s="9"/>
      <c r="B42" s="13"/>
      <c r="C42" s="13">
        <v>0.16</v>
      </c>
      <c r="D42" s="17">
        <f>((NPV(C42,$H$21:$AB$21)+($AB$21*(1+$AC$12)/(C42-$AC$12))/(1+C42)^(2040-2020))/$D$27)/$C$28-1</f>
        <v>-0.60979775862789432</v>
      </c>
      <c r="E42" s="9"/>
    </row>
    <row r="43" spans="1:22" x14ac:dyDescent="0.2">
      <c r="A43" s="9"/>
      <c r="B43" s="13"/>
      <c r="C43" s="13">
        <v>0.18</v>
      </c>
      <c r="D43" s="17">
        <f>((NPV(C43,$H$21:$AB$21)+($AB$21*(1+$AC$12)/(C43-$AC$12))/(1+C43)^(2040-2020))/$D$27)/$C$28-1</f>
        <v>-0.6920740689430549</v>
      </c>
      <c r="E43" s="9"/>
    </row>
    <row r="44" spans="1:22" x14ac:dyDescent="0.2">
      <c r="A44" s="9"/>
      <c r="B44" s="13"/>
      <c r="C44" s="13">
        <v>0.2</v>
      </c>
      <c r="D44" s="17">
        <f>((NPV(C44,$H$21:$AB$21)+($AB$21*(1+$AC$12)/(C44-$AC$12))/(1+C44)^(2040-2020))/$D$27)/$C$28-1</f>
        <v>-0.75058726062511916</v>
      </c>
      <c r="E44" s="9"/>
    </row>
    <row r="45" spans="1:22" x14ac:dyDescent="0.2">
      <c r="A45" s="9"/>
      <c r="B45" s="13"/>
      <c r="C45" s="9"/>
      <c r="D45" s="9"/>
      <c r="E45" s="9"/>
    </row>
  </sheetData>
  <mergeCells count="1">
    <mergeCell ref="B35:C35"/>
  </mergeCells>
  <conditionalFormatting sqref="L6:L8">
    <cfRule type="top10" dxfId="3" priority="9" percent="1" rank="10"/>
  </conditionalFormatting>
  <conditionalFormatting sqref="G6:J8">
    <cfRule type="top10" dxfId="2" priority="8" percent="1" rank="10"/>
  </conditionalFormatting>
  <conditionalFormatting sqref="L9">
    <cfRule type="top10" dxfId="1" priority="6" percent="1" rank="10"/>
  </conditionalFormatting>
  <conditionalFormatting sqref="L2:L5">
    <cfRule type="top10" dxfId="0" priority="4" percent="1" rank="10"/>
  </conditionalFormatting>
  <conditionalFormatting sqref="D29">
    <cfRule type="colorScale" priority="3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J33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6:D44">
    <cfRule type="colorScale" priority="10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AlleAktien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Benjamin Franzil</cp:lastModifiedBy>
  <dcterms:created xsi:type="dcterms:W3CDTF">2020-02-09T06:30:31Z</dcterms:created>
  <dcterms:modified xsi:type="dcterms:W3CDTF">2020-12-10T14:35:55Z</dcterms:modified>
</cp:coreProperties>
</file>