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enjamin/AlleAktien Dropbox/AlleAktien/Analysen/Facebook/Extra Grafiken/"/>
    </mc:Choice>
  </mc:AlternateContent>
  <xr:revisionPtr revIDLastSave="0" documentId="13_ncr:1_{4F041E18-D00F-9C4B-9166-1A18EF8A8731}" xr6:coauthVersionLast="46" xr6:coauthVersionMax="46" xr10:uidLastSave="{00000000-0000-0000-0000-000000000000}"/>
  <bookViews>
    <workbookView xWindow="0" yWindow="500" windowWidth="28800" windowHeight="17500" xr2:uid="{86DD9114-E970-8C40-887B-7878793C85B6}"/>
  </bookViews>
  <sheets>
    <sheet name="AlleAktie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2" i="1" l="1"/>
  <c r="H11" i="1" l="1"/>
  <c r="I11" i="1" s="1"/>
  <c r="J11" i="1" s="1"/>
  <c r="J14" i="1" s="1"/>
  <c r="H14" i="1" l="1"/>
  <c r="I14" i="1"/>
  <c r="J25" i="1"/>
  <c r="K11" i="1" l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H16" i="1" l="1"/>
  <c r="H17" i="1" s="1"/>
  <c r="D23" i="1" l="1"/>
  <c r="I17" i="1" l="1"/>
  <c r="J17" i="1"/>
  <c r="G13" i="1" l="1"/>
  <c r="F13" i="1"/>
  <c r="E13" i="1"/>
  <c r="D13" i="1"/>
  <c r="C13" i="1"/>
  <c r="G12" i="1"/>
  <c r="F12" i="1"/>
  <c r="E12" i="1"/>
  <c r="D12" i="1"/>
  <c r="L11" i="1" l="1"/>
  <c r="K14" i="1"/>
  <c r="K17" i="1" s="1"/>
  <c r="M11" i="1" l="1"/>
  <c r="L14" i="1"/>
  <c r="L17" i="1" s="1"/>
  <c r="M14" i="1" l="1"/>
  <c r="M17" i="1" s="1"/>
  <c r="N11" i="1"/>
  <c r="N14" i="1" l="1"/>
  <c r="N17" i="1" s="1"/>
  <c r="O11" i="1"/>
  <c r="O14" i="1" l="1"/>
  <c r="O17" i="1" s="1"/>
  <c r="P11" i="1"/>
  <c r="Q11" i="1" l="1"/>
  <c r="P14" i="1"/>
  <c r="P17" i="1" s="1"/>
  <c r="R11" i="1" l="1"/>
  <c r="Q14" i="1"/>
  <c r="Q17" i="1" s="1"/>
  <c r="S11" i="1" l="1"/>
  <c r="R14" i="1"/>
  <c r="R17" i="1" l="1"/>
  <c r="J26" i="1" s="1"/>
  <c r="T11" i="1"/>
  <c r="S14" i="1"/>
  <c r="S17" i="1" s="1"/>
  <c r="J22" i="1" l="1"/>
  <c r="U11" i="1"/>
  <c r="T14" i="1"/>
  <c r="T17" i="1" s="1"/>
  <c r="J27" i="1" l="1"/>
  <c r="J28" i="1" s="1"/>
  <c r="J29" i="1" s="1"/>
  <c r="U14" i="1"/>
  <c r="U17" i="1" s="1"/>
  <c r="V11" i="1"/>
  <c r="V14" i="1" l="1"/>
  <c r="V17" i="1" s="1"/>
  <c r="W11" i="1"/>
  <c r="W14" i="1" l="1"/>
  <c r="W17" i="1" s="1"/>
  <c r="X11" i="1"/>
  <c r="Y11" i="1" l="1"/>
  <c r="X14" i="1"/>
  <c r="X17" i="1" s="1"/>
  <c r="Z11" i="1" l="1"/>
  <c r="Y14" i="1"/>
  <c r="Y17" i="1" s="1"/>
  <c r="AA11" i="1" l="1"/>
  <c r="Z14" i="1"/>
  <c r="Z17" i="1" s="1"/>
  <c r="AB11" i="1" l="1"/>
  <c r="AA14" i="1"/>
  <c r="AA17" i="1" s="1"/>
  <c r="AB14" i="1" l="1"/>
  <c r="AB17" i="1" s="1"/>
  <c r="D33" i="1" l="1"/>
  <c r="D32" i="1"/>
  <c r="D37" i="1"/>
  <c r="D39" i="1"/>
  <c r="D34" i="1"/>
  <c r="D35" i="1"/>
  <c r="D36" i="1"/>
  <c r="D38" i="1"/>
  <c r="D40" i="1"/>
  <c r="AC17" i="1"/>
  <c r="D22" i="1" s="1"/>
  <c r="D24" i="1" s="1"/>
  <c r="D25" i="1" s="1"/>
</calcChain>
</file>

<file path=xl/sharedStrings.xml><?xml version="1.0" encoding="utf-8"?>
<sst xmlns="http://schemas.openxmlformats.org/spreadsheetml/2006/main" count="37" uniqueCount="30">
  <si>
    <t>Bewertung</t>
  </si>
  <si>
    <t>Fundamental</t>
  </si>
  <si>
    <t>Umsatz-Wachstum, %</t>
  </si>
  <si>
    <t>EBIT</t>
  </si>
  <si>
    <t>EBIT-Marge, %</t>
  </si>
  <si>
    <t>Unterbewertung</t>
  </si>
  <si>
    <t>Fairer Wert</t>
  </si>
  <si>
    <t>Kurs pro Aktie</t>
  </si>
  <si>
    <t>AlleAktien Future Multiple Valuation (FMV)</t>
  </si>
  <si>
    <t>KGV 2030</t>
  </si>
  <si>
    <t>Renditeerwartung</t>
  </si>
  <si>
    <t>USD</t>
  </si>
  <si>
    <t>Verschuldung</t>
  </si>
  <si>
    <t>Renditetabelle</t>
  </si>
  <si>
    <t>Diskontierungsfaktor (WACC)</t>
  </si>
  <si>
    <t>Prognose »</t>
  </si>
  <si>
    <t>Gesamtrendite</t>
  </si>
  <si>
    <t>Marktkap. + Div. 2030</t>
  </si>
  <si>
    <t>Umsatz</t>
  </si>
  <si>
    <t>Ausschüttungsquote</t>
  </si>
  <si>
    <t>Terminal Value</t>
  </si>
  <si>
    <t>Alle Angaben in Mio. USD</t>
  </si>
  <si>
    <t>Marktkapitalisierung, Mio.</t>
  </si>
  <si>
    <t>Anzahl Aktien (diluted), Mio.</t>
  </si>
  <si>
    <t>Gewinn 2030, Mio.</t>
  </si>
  <si>
    <t>Marktkap. heute, Mio.</t>
  </si>
  <si>
    <t>Dividenden bis 2030, Mio.</t>
  </si>
  <si>
    <t>Marktkap. 2030, Mio.</t>
  </si>
  <si>
    <t>Zinszahlung (XX% Zinsen)</t>
  </si>
  <si>
    <t>Gewinn (21% Unternehmenssteuer)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</si>
</sst>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;@"/>
    <numFmt numFmtId="165" formatCode="#,##0.0"/>
  </numFmts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5" tint="-0.249977111117893"/>
      <name val="Calibri"/>
      <family val="2"/>
      <scheme val="minor"/>
    </font>
    <font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EB7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DF2F7"/>
        <bgColor indexed="64"/>
      </patternFill>
    </fill>
    <fill>
      <patternFill patternType="solid">
        <fgColor rgb="FF9CF5DC"/>
        <bgColor indexed="64"/>
      </patternFill>
    </fill>
    <fill>
      <patternFill patternType="solid">
        <fgColor rgb="FFCBD5E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9">
    <xf numFmtId="0" fontId="0" fillId="0" borderId="0" xfId="0"/>
    <xf numFmtId="9" fontId="1" fillId="2" borderId="0" xfId="1" applyFont="1" applyFill="1"/>
    <xf numFmtId="0" fontId="0" fillId="3" borderId="0" xfId="0" applyFill="1"/>
    <xf numFmtId="9" fontId="0" fillId="3" borderId="0" xfId="1" applyFont="1" applyFill="1"/>
    <xf numFmtId="0" fontId="0" fillId="3" borderId="0" xfId="0" applyFill="1" applyAlignment="1">
      <alignment wrapText="1"/>
    </xf>
    <xf numFmtId="0" fontId="5" fillId="3" borderId="0" xfId="0" applyFont="1" applyFill="1"/>
    <xf numFmtId="38" fontId="0" fillId="3" borderId="0" xfId="0" applyNumberFormat="1" applyFill="1"/>
    <xf numFmtId="0" fontId="4" fillId="3" borderId="0" xfId="0" quotePrefix="1" applyFont="1" applyFill="1"/>
    <xf numFmtId="3" fontId="4" fillId="3" borderId="0" xfId="0" quotePrefix="1" applyNumberFormat="1" applyFont="1" applyFill="1"/>
    <xf numFmtId="0" fontId="0" fillId="4" borderId="0" xfId="0" applyFill="1"/>
    <xf numFmtId="0" fontId="3" fillId="4" borderId="0" xfId="0" applyFont="1" applyFill="1"/>
    <xf numFmtId="0" fontId="3" fillId="4" borderId="0" xfId="0" applyFont="1" applyFill="1" applyAlignment="1">
      <alignment vertical="center" wrapText="1"/>
    </xf>
    <xf numFmtId="3" fontId="0" fillId="4" borderId="0" xfId="0" applyNumberFormat="1" applyFont="1" applyFill="1"/>
    <xf numFmtId="9" fontId="0" fillId="4" borderId="0" xfId="1" applyFont="1" applyFill="1"/>
    <xf numFmtId="3" fontId="0" fillId="4" borderId="0" xfId="0" applyNumberFormat="1" applyFill="1"/>
    <xf numFmtId="0" fontId="0" fillId="4" borderId="0" xfId="0" applyFont="1" applyFill="1"/>
    <xf numFmtId="1" fontId="1" fillId="4" borderId="0" xfId="1" applyNumberFormat="1" applyFont="1" applyFill="1"/>
    <xf numFmtId="9" fontId="0" fillId="5" borderId="0" xfId="1" applyFont="1" applyFill="1"/>
    <xf numFmtId="0" fontId="6" fillId="3" borderId="0" xfId="0" applyFont="1" applyFill="1"/>
    <xf numFmtId="4" fontId="3" fillId="4" borderId="0" xfId="0" applyNumberFormat="1" applyFont="1" applyFill="1"/>
    <xf numFmtId="4" fontId="0" fillId="4" borderId="0" xfId="0" applyNumberFormat="1" applyFill="1"/>
    <xf numFmtId="3" fontId="0" fillId="2" borderId="0" xfId="0" applyNumberFormat="1" applyFont="1" applyFill="1"/>
    <xf numFmtId="0" fontId="0" fillId="6" borderId="0" xfId="0" applyFill="1"/>
    <xf numFmtId="0" fontId="3" fillId="6" borderId="0" xfId="0" applyFont="1" applyFill="1"/>
    <xf numFmtId="0" fontId="2" fillId="6" borderId="0" xfId="0" applyFont="1" applyFill="1"/>
    <xf numFmtId="0" fontId="0" fillId="6" borderId="0" xfId="0" applyFill="1" applyAlignment="1">
      <alignment wrapText="1"/>
    </xf>
    <xf numFmtId="164" fontId="3" fillId="6" borderId="0" xfId="0" applyNumberFormat="1" applyFont="1" applyFill="1"/>
    <xf numFmtId="0" fontId="3" fillId="6" borderId="0" xfId="0" applyFont="1" applyFill="1" applyAlignment="1">
      <alignment horizontal="right"/>
    </xf>
    <xf numFmtId="0" fontId="5" fillId="6" borderId="0" xfId="0" applyFont="1" applyFill="1"/>
    <xf numFmtId="4" fontId="3" fillId="6" borderId="0" xfId="0" applyNumberFormat="1" applyFont="1" applyFill="1"/>
    <xf numFmtId="4" fontId="0" fillId="6" borderId="0" xfId="0" applyNumberFormat="1" applyFill="1"/>
    <xf numFmtId="9" fontId="3" fillId="6" borderId="0" xfId="1" applyFont="1" applyFill="1"/>
    <xf numFmtId="3" fontId="0" fillId="2" borderId="0" xfId="0" applyNumberFormat="1" applyFill="1"/>
    <xf numFmtId="165" fontId="0" fillId="4" borderId="0" xfId="0" applyNumberFormat="1" applyFill="1"/>
    <xf numFmtId="9" fontId="0" fillId="2" borderId="0" xfId="1" applyFont="1" applyFill="1"/>
    <xf numFmtId="165" fontId="0" fillId="2" borderId="0" xfId="0" applyNumberFormat="1" applyFill="1"/>
    <xf numFmtId="3" fontId="0" fillId="6" borderId="0" xfId="0" applyNumberFormat="1" applyFill="1"/>
    <xf numFmtId="3" fontId="0" fillId="6" borderId="0" xfId="0" applyNumberFormat="1" applyFont="1" applyFill="1"/>
    <xf numFmtId="0" fontId="3" fillId="6" borderId="0" xfId="0" applyFont="1" applyFill="1" applyAlignment="1">
      <alignment horizontal="right"/>
    </xf>
  </cellXfs>
  <cellStyles count="3">
    <cellStyle name="Prozent" xfId="1" builtinId="5"/>
    <cellStyle name="Prozent 2" xfId="2" xr:uid="{7A6FE9AA-E0C4-404C-B5D7-989DCA2EB139}"/>
    <cellStyle name="Standard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BD5E0"/>
      <color rgb="FFFFE1E2"/>
      <color rgb="FFFFFAE0"/>
      <color rgb="FF9CF5DC"/>
      <color rgb="FFEDF2F7"/>
      <color rgb="FFFFEB7D"/>
      <color rgb="FFFFD802"/>
      <color rgb="FF718096"/>
      <color rgb="FFFF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sv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6" Type="http://schemas.openxmlformats.org/officeDocument/2006/relationships/image" Target="../media/image6.svg"/><Relationship Id="rId5" Type="http://schemas.openxmlformats.org/officeDocument/2006/relationships/image" Target="../media/image5.png"/><Relationship Id="rId10" Type="http://schemas.openxmlformats.org/officeDocument/2006/relationships/image" Target="../media/image10.svg"/><Relationship Id="rId4" Type="http://schemas.openxmlformats.org/officeDocument/2006/relationships/image" Target="../media/image4.sv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934720</xdr:colOff>
      <xdr:row>2</xdr:row>
      <xdr:rowOff>142240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27F04FD8-EEB4-2B4E-8E96-5EB5A93FCF2F}"/>
            </a:ext>
          </a:extLst>
        </xdr:cNvPr>
        <xdr:cNvSpPr txBox="1"/>
      </xdr:nvSpPr>
      <xdr:spPr>
        <a:xfrm>
          <a:off x="0" y="0"/>
          <a:ext cx="2062480" cy="5486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de-DE" sz="2800" b="1">
              <a:solidFill>
                <a:schemeClr val="bg1"/>
              </a:solidFill>
              <a:latin typeface="Publico Text Web" panose="02040502060504060203" pitchFamily="18" charset="77"/>
            </a:rPr>
            <a:t>AlleAktien</a:t>
          </a:r>
        </a:p>
      </xdr:txBody>
    </xdr:sp>
    <xdr:clientData/>
  </xdr:twoCellAnchor>
  <xdr:twoCellAnchor editAs="oneCell">
    <xdr:from>
      <xdr:col>6</xdr:col>
      <xdr:colOff>228600</xdr:colOff>
      <xdr:row>21</xdr:row>
      <xdr:rowOff>203200</xdr:rowOff>
    </xdr:from>
    <xdr:to>
      <xdr:col>6</xdr:col>
      <xdr:colOff>840600</xdr:colOff>
      <xdr:row>24</xdr:row>
      <xdr:rowOff>192900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3420C633-4206-3140-9D88-37A4147553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255000" y="4089400"/>
          <a:ext cx="612000" cy="612000"/>
        </a:xfrm>
        <a:prstGeom prst="rect">
          <a:avLst/>
        </a:prstGeom>
      </xdr:spPr>
    </xdr:pic>
    <xdr:clientData/>
  </xdr:twoCellAnchor>
  <xdr:twoCellAnchor editAs="oneCell">
    <xdr:from>
      <xdr:col>0</xdr:col>
      <xdr:colOff>142875</xdr:colOff>
      <xdr:row>32</xdr:row>
      <xdr:rowOff>95250</xdr:rowOff>
    </xdr:from>
    <xdr:to>
      <xdr:col>0</xdr:col>
      <xdr:colOff>754875</xdr:colOff>
      <xdr:row>35</xdr:row>
      <xdr:rowOff>88125</xdr:rowOff>
    </xdr:to>
    <xdr:pic>
      <xdr:nvPicPr>
        <xdr:cNvPr id="8" name="Grafik 7">
          <a:extLst>
            <a:ext uri="{FF2B5EF4-FFF2-40B4-BE49-F238E27FC236}">
              <a16:creationId xmlns:a16="http://schemas.microsoft.com/office/drawing/2014/main" id="{F425C894-C517-6D4D-84AF-64DFC58BD7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142875" y="6778625"/>
          <a:ext cx="612000" cy="6120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934720</xdr:colOff>
      <xdr:row>2</xdr:row>
      <xdr:rowOff>142240</xdr:rowOff>
    </xdr:to>
    <xdr:sp macro="" textlink="">
      <xdr:nvSpPr>
        <xdr:cNvPr id="9" name="Textfeld 8">
          <a:extLst>
            <a:ext uri="{FF2B5EF4-FFF2-40B4-BE49-F238E27FC236}">
              <a16:creationId xmlns:a16="http://schemas.microsoft.com/office/drawing/2014/main" id="{0E68EDBB-8E08-7C40-9938-84767D184AD0}"/>
            </a:ext>
          </a:extLst>
        </xdr:cNvPr>
        <xdr:cNvSpPr txBox="1"/>
      </xdr:nvSpPr>
      <xdr:spPr>
        <a:xfrm>
          <a:off x="0" y="0"/>
          <a:ext cx="2059577" cy="5413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de-DE" sz="2800" b="1">
              <a:solidFill>
                <a:schemeClr val="tx1"/>
              </a:solidFill>
              <a:latin typeface="Publico Text Web" panose="02040502060504060203" pitchFamily="18" charset="77"/>
            </a:rPr>
            <a:t>AlleAktien</a:t>
          </a:r>
        </a:p>
      </xdr:txBody>
    </xdr:sp>
    <xdr:clientData/>
  </xdr:twoCellAnchor>
  <xdr:twoCellAnchor editAs="oneCell">
    <xdr:from>
      <xdr:col>0</xdr:col>
      <xdr:colOff>210268</xdr:colOff>
      <xdr:row>11</xdr:row>
      <xdr:rowOff>33514</xdr:rowOff>
    </xdr:from>
    <xdr:to>
      <xdr:col>0</xdr:col>
      <xdr:colOff>697847</xdr:colOff>
      <xdr:row>13</xdr:row>
      <xdr:rowOff>127000</xdr:rowOff>
    </xdr:to>
    <xdr:pic>
      <xdr:nvPicPr>
        <xdr:cNvPr id="10" name="Grafik 9">
          <a:extLst>
            <a:ext uri="{FF2B5EF4-FFF2-40B4-BE49-F238E27FC236}">
              <a16:creationId xmlns:a16="http://schemas.microsoft.com/office/drawing/2014/main" id="{1D3DFDFE-8E00-C343-A880-A2CAFA82A8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rcRect/>
        <a:stretch/>
      </xdr:blipFill>
      <xdr:spPr>
        <a:xfrm>
          <a:off x="210268" y="2281414"/>
          <a:ext cx="487579" cy="499886"/>
        </a:xfrm>
        <a:prstGeom prst="rect">
          <a:avLst/>
        </a:prstGeom>
      </xdr:spPr>
    </xdr:pic>
    <xdr:clientData/>
  </xdr:twoCellAnchor>
  <xdr:twoCellAnchor editAs="oneCell">
    <xdr:from>
      <xdr:col>0</xdr:col>
      <xdr:colOff>198476</xdr:colOff>
      <xdr:row>22</xdr:row>
      <xdr:rowOff>62403</xdr:rowOff>
    </xdr:from>
    <xdr:to>
      <xdr:col>0</xdr:col>
      <xdr:colOff>691010</xdr:colOff>
      <xdr:row>24</xdr:row>
      <xdr:rowOff>160893</xdr:rowOff>
    </xdr:to>
    <xdr:pic>
      <xdr:nvPicPr>
        <xdr:cNvPr id="11" name="Grafik 10">
          <a:extLst>
            <a:ext uri="{FF2B5EF4-FFF2-40B4-BE49-F238E27FC236}">
              <a16:creationId xmlns:a16="http://schemas.microsoft.com/office/drawing/2014/main" id="{E1589B77-B014-7348-B036-282BC0468F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rcRect/>
        <a:stretch/>
      </xdr:blipFill>
      <xdr:spPr>
        <a:xfrm>
          <a:off x="198476" y="4596303"/>
          <a:ext cx="492534" cy="504890"/>
        </a:xfrm>
        <a:prstGeom prst="rect">
          <a:avLst/>
        </a:prstGeom>
      </xdr:spPr>
    </xdr:pic>
    <xdr:clientData/>
  </xdr:twoCellAnchor>
  <xdr:twoCellAnchor editAs="oneCell">
    <xdr:from>
      <xdr:col>1</xdr:col>
      <xdr:colOff>1084793</xdr:colOff>
      <xdr:row>0</xdr:row>
      <xdr:rowOff>39687</xdr:rowOff>
    </xdr:from>
    <xdr:to>
      <xdr:col>2</xdr:col>
      <xdr:colOff>658415</xdr:colOff>
      <xdr:row>2</xdr:row>
      <xdr:rowOff>38812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1E3DE746-E2CF-EE43-B2A4-2293B21C0A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96DAC541-7B7A-43D3-8B79-37D633B846F1}">
              <asvg:svgBlip xmlns:asvg="http://schemas.microsoft.com/office/drawing/2016/SVG/main" r:embed="rId10"/>
            </a:ext>
          </a:extLst>
        </a:blip>
        <a:stretch>
          <a:fillRect/>
        </a:stretch>
      </xdr:blipFill>
      <xdr:spPr>
        <a:xfrm>
          <a:off x="2209272" y="39687"/>
          <a:ext cx="2034247" cy="396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FF50A5-4AB6-974B-96A9-98D923897FEF}">
  <dimension ref="A1:CF41"/>
  <sheetViews>
    <sheetView tabSelected="1" zoomScale="96" zoomScaleNormal="100" workbookViewId="0">
      <selection activeCell="I41" sqref="I41"/>
    </sheetView>
  </sheetViews>
  <sheetFormatPr baseColWidth="10" defaultColWidth="10.6640625" defaultRowHeight="16" x14ac:dyDescent="0.2"/>
  <cols>
    <col min="1" max="1" width="14.83203125" style="2" customWidth="1"/>
    <col min="2" max="2" width="32.33203125" style="2" customWidth="1"/>
    <col min="3" max="3" width="16" style="2" bestFit="1" customWidth="1"/>
    <col min="4" max="4" width="16.1640625" style="2" customWidth="1"/>
    <col min="5" max="5" width="14.1640625" style="2" customWidth="1"/>
    <col min="6" max="6" width="13.6640625" style="2" customWidth="1"/>
    <col min="7" max="7" width="14.83203125" style="2" customWidth="1"/>
    <col min="8" max="8" width="12.1640625" style="2" customWidth="1"/>
    <col min="9" max="27" width="10.6640625" style="2"/>
    <col min="28" max="28" width="11.5" style="2" customWidth="1"/>
    <col min="29" max="29" width="14.1640625" style="2" bestFit="1" customWidth="1"/>
    <col min="30" max="16384" width="10.6640625" style="2"/>
  </cols>
  <sheetData>
    <row r="1" spans="1:84" customFormat="1" x14ac:dyDescent="0.2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</row>
    <row r="2" spans="1:84" customFormat="1" x14ac:dyDescent="0.2">
      <c r="A2" s="22"/>
      <c r="B2" s="23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</row>
    <row r="3" spans="1:84" customFormat="1" x14ac:dyDescent="0.2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</row>
    <row r="4" spans="1:84" customFormat="1" x14ac:dyDescent="0.2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</row>
    <row r="5" spans="1:84" customFormat="1" x14ac:dyDescent="0.2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</row>
    <row r="8" spans="1:84" x14ac:dyDescent="0.2">
      <c r="B8" s="2" t="s">
        <v>21</v>
      </c>
    </row>
    <row r="9" spans="1:84" x14ac:dyDescent="0.2">
      <c r="A9" s="22"/>
      <c r="B9" s="22"/>
      <c r="C9" s="22"/>
      <c r="D9" s="22"/>
      <c r="E9" s="22"/>
      <c r="F9" s="22"/>
      <c r="G9" s="22"/>
      <c r="H9" s="23" t="s">
        <v>15</v>
      </c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</row>
    <row r="10" spans="1:84" x14ac:dyDescent="0.2">
      <c r="A10" s="9"/>
      <c r="B10" s="9"/>
      <c r="C10" s="10">
        <v>2016</v>
      </c>
      <c r="D10" s="10">
        <v>2017</v>
      </c>
      <c r="E10" s="10">
        <v>2018</v>
      </c>
      <c r="F10" s="10">
        <v>2019</v>
      </c>
      <c r="G10" s="10">
        <v>2020</v>
      </c>
      <c r="H10" s="10">
        <v>2021</v>
      </c>
      <c r="I10" s="10">
        <v>2022</v>
      </c>
      <c r="J10" s="10">
        <v>2023</v>
      </c>
      <c r="K10" s="10">
        <v>2024</v>
      </c>
      <c r="L10" s="10">
        <v>2025</v>
      </c>
      <c r="M10" s="10">
        <v>2026</v>
      </c>
      <c r="N10" s="10">
        <v>2027</v>
      </c>
      <c r="O10" s="10">
        <v>2028</v>
      </c>
      <c r="P10" s="10">
        <v>2029</v>
      </c>
      <c r="Q10" s="10">
        <v>2030</v>
      </c>
      <c r="R10" s="10">
        <v>2031</v>
      </c>
      <c r="S10" s="10">
        <v>2032</v>
      </c>
      <c r="T10" s="10">
        <v>2033</v>
      </c>
      <c r="U10" s="10">
        <v>2034</v>
      </c>
      <c r="V10" s="10">
        <v>2035</v>
      </c>
      <c r="W10" s="10">
        <v>2036</v>
      </c>
      <c r="X10" s="10">
        <v>2037</v>
      </c>
      <c r="Y10" s="10">
        <v>2038</v>
      </c>
      <c r="Z10" s="10">
        <v>2039</v>
      </c>
      <c r="AA10" s="10">
        <v>2040</v>
      </c>
      <c r="AB10" s="10">
        <v>2041</v>
      </c>
      <c r="AC10" s="10" t="s">
        <v>20</v>
      </c>
    </row>
    <row r="11" spans="1:84" ht="17" x14ac:dyDescent="0.2">
      <c r="A11" s="11" t="s">
        <v>1</v>
      </c>
      <c r="B11" s="9" t="s">
        <v>18</v>
      </c>
      <c r="C11" s="36">
        <v>27638</v>
      </c>
      <c r="D11" s="36">
        <v>40653</v>
      </c>
      <c r="E11" s="36">
        <v>55838</v>
      </c>
      <c r="F11" s="36">
        <v>70679</v>
      </c>
      <c r="G11" s="36">
        <v>85965</v>
      </c>
      <c r="H11" s="12">
        <f t="shared" ref="H11:J11" si="0">G11*(1+H12)</f>
        <v>107628.18</v>
      </c>
      <c r="I11" s="12">
        <f t="shared" si="0"/>
        <v>128615.67509999999</v>
      </c>
      <c r="J11" s="12">
        <f t="shared" si="0"/>
        <v>149194.18311599997</v>
      </c>
      <c r="K11" s="12">
        <f>J11*(1+K12)</f>
        <v>171573.31058339996</v>
      </c>
      <c r="L11" s="12">
        <f t="shared" ref="L11" si="1">K11*(1+L12)</f>
        <v>197309.30717090995</v>
      </c>
      <c r="M11" s="12">
        <f t="shared" ref="M11" si="2">L11*(1+M12)</f>
        <v>226905.70324654641</v>
      </c>
      <c r="N11" s="12">
        <f t="shared" ref="N11" si="3">M11*(1+N12)</f>
        <v>260941.55873352836</v>
      </c>
      <c r="O11" s="12">
        <f t="shared" ref="O11" si="4">N11*(1+O12)</f>
        <v>300082.79254355759</v>
      </c>
      <c r="P11" s="12">
        <f t="shared" ref="P11" si="5">O11*(1+P12)</f>
        <v>345095.2114250912</v>
      </c>
      <c r="Q11" s="12">
        <f t="shared" ref="Q11" si="6">P11*(1+Q12)</f>
        <v>396859.49313885486</v>
      </c>
      <c r="R11" s="12">
        <f t="shared" ref="R11" si="7">Q11*(1+R12)</f>
        <v>436545.44245274039</v>
      </c>
      <c r="S11" s="12">
        <f t="shared" ref="S11" si="8">R11*(1+S12)</f>
        <v>480199.98669801449</v>
      </c>
      <c r="T11" s="12">
        <f t="shared" ref="T11" si="9">S11*(1+T12)</f>
        <v>528219.98536781594</v>
      </c>
      <c r="U11" s="12">
        <f t="shared" ref="U11" si="10">T11*(1+U12)</f>
        <v>581041.98390459758</v>
      </c>
      <c r="V11" s="12">
        <f t="shared" ref="V11" si="11">U11*(1+V12)</f>
        <v>639146.18229505734</v>
      </c>
      <c r="W11" s="12">
        <f t="shared" ref="W11" si="12">V11*(1+W12)</f>
        <v>703060.80052456318</v>
      </c>
      <c r="X11" s="12">
        <f t="shared" ref="X11" si="13">W11*(1+X12)</f>
        <v>738213.84055079136</v>
      </c>
      <c r="Y11" s="12">
        <f t="shared" ref="Y11" si="14">X11*(1+Y12)</f>
        <v>775124.53257833095</v>
      </c>
      <c r="Z11" s="12">
        <f t="shared" ref="Z11" si="15">Y11*(1+Z12)</f>
        <v>813880.75920724752</v>
      </c>
      <c r="AA11" s="12">
        <f t="shared" ref="AA11" si="16">Z11*(1+AA12)</f>
        <v>854574.79716760991</v>
      </c>
      <c r="AB11" s="12">
        <f t="shared" ref="AB11" si="17">AA11*(1+AB12)</f>
        <v>897303.53702599043</v>
      </c>
      <c r="AC11" s="12"/>
    </row>
    <row r="12" spans="1:84" x14ac:dyDescent="0.2">
      <c r="A12" s="11"/>
      <c r="B12" s="9" t="s">
        <v>2</v>
      </c>
      <c r="C12" s="13"/>
      <c r="D12" s="13">
        <f>D11/C11-1</f>
        <v>0.47090961719371882</v>
      </c>
      <c r="E12" s="13">
        <f>E11/D11-1</f>
        <v>0.37352716896661997</v>
      </c>
      <c r="F12" s="13">
        <f>F11/E11-1</f>
        <v>0.26578674021275828</v>
      </c>
      <c r="G12" s="13">
        <f>G11/F11-1</f>
        <v>0.21627357489494758</v>
      </c>
      <c r="H12" s="1">
        <v>0.252</v>
      </c>
      <c r="I12" s="1">
        <v>0.19500000000000001</v>
      </c>
      <c r="J12" s="1">
        <v>0.16</v>
      </c>
      <c r="K12" s="1">
        <v>0.15</v>
      </c>
      <c r="L12" s="1">
        <v>0.15</v>
      </c>
      <c r="M12" s="1">
        <v>0.15</v>
      </c>
      <c r="N12" s="1">
        <v>0.15</v>
      </c>
      <c r="O12" s="1">
        <v>0.15</v>
      </c>
      <c r="P12" s="1">
        <v>0.15</v>
      </c>
      <c r="Q12" s="1">
        <v>0.15</v>
      </c>
      <c r="R12" s="1">
        <v>0.1</v>
      </c>
      <c r="S12" s="1">
        <v>0.1</v>
      </c>
      <c r="T12" s="1">
        <v>0.1</v>
      </c>
      <c r="U12" s="1">
        <v>0.1</v>
      </c>
      <c r="V12" s="1">
        <v>0.1</v>
      </c>
      <c r="W12" s="1">
        <v>0.1</v>
      </c>
      <c r="X12" s="1">
        <v>0.05</v>
      </c>
      <c r="Y12" s="1">
        <v>0.05</v>
      </c>
      <c r="Z12" s="1">
        <v>0.05</v>
      </c>
      <c r="AA12" s="1">
        <v>0.05</v>
      </c>
      <c r="AB12" s="1">
        <v>0.05</v>
      </c>
      <c r="AC12" s="1">
        <v>0.03</v>
      </c>
    </row>
    <row r="13" spans="1:84" ht="16" customHeight="1" x14ac:dyDescent="0.2">
      <c r="A13" s="11"/>
      <c r="B13" s="9" t="s">
        <v>4</v>
      </c>
      <c r="C13" s="13">
        <f t="shared" ref="C13:G13" si="18">C14/C11</f>
        <v>0.44963456111151312</v>
      </c>
      <c r="D13" s="13">
        <f t="shared" si="18"/>
        <v>0.49696209381841439</v>
      </c>
      <c r="E13" s="13">
        <f t="shared" si="18"/>
        <v>0.44616569361366809</v>
      </c>
      <c r="F13" s="13">
        <f t="shared" si="18"/>
        <v>0.41010766988780262</v>
      </c>
      <c r="G13" s="13">
        <f t="shared" si="18"/>
        <v>0.3800500203571221</v>
      </c>
      <c r="H13" s="1">
        <v>0.35899999999999999</v>
      </c>
      <c r="I13" s="1">
        <v>0.36499999999999999</v>
      </c>
      <c r="J13" s="1">
        <v>0.36699999999999999</v>
      </c>
      <c r="K13" s="1">
        <v>0.35</v>
      </c>
      <c r="L13" s="1">
        <v>0.35</v>
      </c>
      <c r="M13" s="1">
        <v>0.35</v>
      </c>
      <c r="N13" s="1">
        <v>0.35</v>
      </c>
      <c r="O13" s="1">
        <v>0.35</v>
      </c>
      <c r="P13" s="1">
        <v>0.35</v>
      </c>
      <c r="Q13" s="1">
        <v>0.35</v>
      </c>
      <c r="R13" s="1">
        <v>0.35</v>
      </c>
      <c r="S13" s="1">
        <v>0.35</v>
      </c>
      <c r="T13" s="1">
        <v>0.35</v>
      </c>
      <c r="U13" s="1">
        <v>0.35</v>
      </c>
      <c r="V13" s="1">
        <v>0.35</v>
      </c>
      <c r="W13" s="1">
        <v>0.35</v>
      </c>
      <c r="X13" s="1">
        <v>0.35</v>
      </c>
      <c r="Y13" s="1">
        <v>0.35</v>
      </c>
      <c r="Z13" s="1">
        <v>0.35</v>
      </c>
      <c r="AA13" s="1">
        <v>0.35</v>
      </c>
      <c r="AB13" s="1">
        <v>0.35</v>
      </c>
      <c r="AC13" s="1"/>
    </row>
    <row r="14" spans="1:84" ht="17" customHeight="1" x14ac:dyDescent="0.2">
      <c r="A14" s="11"/>
      <c r="B14" s="9" t="s">
        <v>3</v>
      </c>
      <c r="C14" s="36">
        <v>12427</v>
      </c>
      <c r="D14" s="36">
        <v>20203</v>
      </c>
      <c r="E14" s="36">
        <v>24913</v>
      </c>
      <c r="F14" s="36">
        <v>28986</v>
      </c>
      <c r="G14" s="36">
        <v>32671</v>
      </c>
      <c r="H14" s="12">
        <f t="shared" ref="H14:J14" si="19">H11*H13</f>
        <v>38638.516619999995</v>
      </c>
      <c r="I14" s="12">
        <f t="shared" si="19"/>
        <v>46944.721411499995</v>
      </c>
      <c r="J14" s="12">
        <f t="shared" si="19"/>
        <v>54754.265203571988</v>
      </c>
      <c r="K14" s="12">
        <f t="shared" ref="K14:AB14" si="20">K11*K13</f>
        <v>60050.658704189984</v>
      </c>
      <c r="L14" s="12">
        <f t="shared" si="20"/>
        <v>69058.257509818475</v>
      </c>
      <c r="M14" s="12">
        <f t="shared" si="20"/>
        <v>79416.996136291244</v>
      </c>
      <c r="N14" s="12">
        <f t="shared" si="20"/>
        <v>91329.545556734927</v>
      </c>
      <c r="O14" s="12">
        <f t="shared" si="20"/>
        <v>105028.97739024516</v>
      </c>
      <c r="P14" s="12">
        <f t="shared" si="20"/>
        <v>120783.32399878191</v>
      </c>
      <c r="Q14" s="12">
        <f t="shared" si="20"/>
        <v>138900.82259859919</v>
      </c>
      <c r="R14" s="12">
        <f t="shared" si="20"/>
        <v>152790.90485845914</v>
      </c>
      <c r="S14" s="12">
        <f t="shared" si="20"/>
        <v>168069.99534430506</v>
      </c>
      <c r="T14" s="12">
        <f t="shared" si="20"/>
        <v>184876.99487873557</v>
      </c>
      <c r="U14" s="12">
        <f t="shared" si="20"/>
        <v>203364.69436660915</v>
      </c>
      <c r="V14" s="12">
        <f t="shared" si="20"/>
        <v>223701.16380327006</v>
      </c>
      <c r="W14" s="12">
        <f t="shared" si="20"/>
        <v>246071.28018359709</v>
      </c>
      <c r="X14" s="12">
        <f t="shared" si="20"/>
        <v>258374.84419277695</v>
      </c>
      <c r="Y14" s="12">
        <f t="shared" si="20"/>
        <v>271293.58640241582</v>
      </c>
      <c r="Z14" s="12">
        <f t="shared" si="20"/>
        <v>284858.2657225366</v>
      </c>
      <c r="AA14" s="12">
        <f t="shared" si="20"/>
        <v>299101.17900866346</v>
      </c>
      <c r="AB14" s="12">
        <f t="shared" si="20"/>
        <v>314056.23795909662</v>
      </c>
      <c r="AC14" s="12"/>
    </row>
    <row r="15" spans="1:84" ht="17" hidden="1" customHeight="1" x14ac:dyDescent="0.2">
      <c r="A15" s="11"/>
      <c r="B15" s="9" t="s">
        <v>12</v>
      </c>
      <c r="C15" s="36"/>
      <c r="D15" s="37"/>
      <c r="E15" s="37"/>
      <c r="F15" s="37"/>
      <c r="G15" s="37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12"/>
    </row>
    <row r="16" spans="1:84" ht="17" hidden="1" customHeight="1" x14ac:dyDescent="0.2">
      <c r="A16" s="1">
        <v>0</v>
      </c>
      <c r="B16" s="9" t="s">
        <v>28</v>
      </c>
      <c r="C16" s="36"/>
      <c r="D16" s="37"/>
      <c r="E16" s="37"/>
      <c r="F16" s="37"/>
      <c r="G16" s="37"/>
      <c r="H16" s="12">
        <f>-$A$16*H15</f>
        <v>0</v>
      </c>
      <c r="I16" s="12">
        <f t="shared" ref="I16:AB16" si="21">-$A$16*I15</f>
        <v>0</v>
      </c>
      <c r="J16" s="12">
        <f t="shared" si="21"/>
        <v>0</v>
      </c>
      <c r="K16" s="12">
        <f t="shared" si="21"/>
        <v>0</v>
      </c>
      <c r="L16" s="12">
        <f t="shared" si="21"/>
        <v>0</v>
      </c>
      <c r="M16" s="12">
        <f t="shared" si="21"/>
        <v>0</v>
      </c>
      <c r="N16" s="12">
        <f t="shared" si="21"/>
        <v>0</v>
      </c>
      <c r="O16" s="12">
        <f t="shared" si="21"/>
        <v>0</v>
      </c>
      <c r="P16" s="12">
        <f t="shared" si="21"/>
        <v>0</v>
      </c>
      <c r="Q16" s="12">
        <f t="shared" si="21"/>
        <v>0</v>
      </c>
      <c r="R16" s="12">
        <f t="shared" si="21"/>
        <v>0</v>
      </c>
      <c r="S16" s="12">
        <f t="shared" si="21"/>
        <v>0</v>
      </c>
      <c r="T16" s="12">
        <f t="shared" si="21"/>
        <v>0</v>
      </c>
      <c r="U16" s="12">
        <f t="shared" si="21"/>
        <v>0</v>
      </c>
      <c r="V16" s="12">
        <f t="shared" si="21"/>
        <v>0</v>
      </c>
      <c r="W16" s="12">
        <f t="shared" si="21"/>
        <v>0</v>
      </c>
      <c r="X16" s="12">
        <f t="shared" si="21"/>
        <v>0</v>
      </c>
      <c r="Y16" s="12">
        <f t="shared" si="21"/>
        <v>0</v>
      </c>
      <c r="Z16" s="12">
        <f t="shared" si="21"/>
        <v>0</v>
      </c>
      <c r="AA16" s="12">
        <f t="shared" si="21"/>
        <v>0</v>
      </c>
      <c r="AB16" s="12">
        <f t="shared" si="21"/>
        <v>0</v>
      </c>
      <c r="AC16" s="12"/>
    </row>
    <row r="17" spans="1:29" x14ac:dyDescent="0.2">
      <c r="A17" s="1">
        <v>0.21</v>
      </c>
      <c r="B17" s="9" t="s">
        <v>29</v>
      </c>
      <c r="C17" s="36">
        <v>10188</v>
      </c>
      <c r="D17" s="36">
        <v>15920</v>
      </c>
      <c r="E17" s="36">
        <v>22112</v>
      </c>
      <c r="F17" s="36">
        <v>18485</v>
      </c>
      <c r="G17" s="36">
        <v>29146</v>
      </c>
      <c r="H17" s="12">
        <f>(H14+H16)*(1-$A$17)</f>
        <v>30524.428129799999</v>
      </c>
      <c r="I17" s="12">
        <f t="shared" ref="I17:AB17" si="22">(I14+I16)*(1-$A$17)</f>
        <v>37086.329915085</v>
      </c>
      <c r="J17" s="12">
        <f t="shared" si="22"/>
        <v>43255.869510821874</v>
      </c>
      <c r="K17" s="12">
        <f t="shared" si="22"/>
        <v>47440.020376310087</v>
      </c>
      <c r="L17" s="12">
        <f t="shared" si="22"/>
        <v>54556.0234327566</v>
      </c>
      <c r="M17" s="12">
        <f t="shared" si="22"/>
        <v>62739.426947670087</v>
      </c>
      <c r="N17" s="12">
        <f t="shared" si="22"/>
        <v>72150.340989820601</v>
      </c>
      <c r="O17" s="12">
        <f t="shared" si="22"/>
        <v>82972.892138293682</v>
      </c>
      <c r="P17" s="12">
        <f t="shared" si="22"/>
        <v>95418.825959037713</v>
      </c>
      <c r="Q17" s="12">
        <f t="shared" si="22"/>
        <v>109731.64985289336</v>
      </c>
      <c r="R17" s="12">
        <f t="shared" si="22"/>
        <v>120704.81483818272</v>
      </c>
      <c r="S17" s="12">
        <f t="shared" si="22"/>
        <v>132775.296322001</v>
      </c>
      <c r="T17" s="12">
        <f t="shared" si="22"/>
        <v>146052.82595420111</v>
      </c>
      <c r="U17" s="12">
        <f t="shared" si="22"/>
        <v>160658.10854962125</v>
      </c>
      <c r="V17" s="12">
        <f t="shared" si="22"/>
        <v>176723.91940458334</v>
      </c>
      <c r="W17" s="12">
        <f t="shared" si="22"/>
        <v>194396.3113450417</v>
      </c>
      <c r="X17" s="12">
        <f t="shared" si="22"/>
        <v>204116.12691229381</v>
      </c>
      <c r="Y17" s="12">
        <f t="shared" si="22"/>
        <v>214321.9332579085</v>
      </c>
      <c r="Z17" s="12">
        <f t="shared" si="22"/>
        <v>225038.02992080394</v>
      </c>
      <c r="AA17" s="12">
        <f t="shared" si="22"/>
        <v>236289.93141684413</v>
      </c>
      <c r="AB17" s="12">
        <f t="shared" si="22"/>
        <v>248104.42798768633</v>
      </c>
      <c r="AC17" s="37">
        <f>AB17*(1+AC12)/(C28-AC12)</f>
        <v>3650679.4403902413</v>
      </c>
    </row>
    <row r="18" spans="1:29" x14ac:dyDescent="0.2">
      <c r="A18" s="4"/>
      <c r="B18" s="18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</row>
    <row r="19" spans="1:29" x14ac:dyDescent="0.2">
      <c r="A19" s="4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</row>
    <row r="20" spans="1:29" x14ac:dyDescent="0.2">
      <c r="A20" s="4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</row>
    <row r="21" spans="1:29" x14ac:dyDescent="0.2">
      <c r="A21" s="25"/>
      <c r="B21" s="22"/>
      <c r="C21" s="26">
        <v>44259</v>
      </c>
      <c r="D21" s="27" t="s">
        <v>6</v>
      </c>
      <c r="E21" s="28"/>
      <c r="F21" s="5"/>
      <c r="G21" s="29" t="s">
        <v>8</v>
      </c>
      <c r="H21" s="29"/>
      <c r="I21" s="29"/>
      <c r="J21" s="30"/>
      <c r="K21" s="30"/>
      <c r="L21" s="30"/>
      <c r="M21" s="5"/>
      <c r="N21" s="5"/>
      <c r="O21" s="5"/>
      <c r="P21" s="5"/>
      <c r="Q21" s="5"/>
      <c r="R21" s="5"/>
    </row>
    <row r="22" spans="1:29" ht="17" x14ac:dyDescent="0.2">
      <c r="A22" s="11" t="s">
        <v>0</v>
      </c>
      <c r="B22" s="9" t="s">
        <v>22</v>
      </c>
      <c r="C22" s="12">
        <f>C23*C24</f>
        <v>726240</v>
      </c>
      <c r="D22" s="12">
        <f>NPV($C$28,H17:AB17)+AC17/(1+C28)^(2040-2020)</f>
        <v>1331959.2708844822</v>
      </c>
      <c r="E22" s="9" t="s">
        <v>11</v>
      </c>
      <c r="G22" s="19"/>
      <c r="H22" s="20" t="s">
        <v>24</v>
      </c>
      <c r="I22" s="20"/>
      <c r="J22" s="14">
        <f>R17</f>
        <v>120704.81483818272</v>
      </c>
      <c r="K22" s="20" t="s">
        <v>11</v>
      </c>
      <c r="L22" s="20"/>
    </row>
    <row r="23" spans="1:29" x14ac:dyDescent="0.2">
      <c r="A23" s="11"/>
      <c r="B23" s="9" t="s">
        <v>23</v>
      </c>
      <c r="C23" s="32">
        <v>2848</v>
      </c>
      <c r="D23" s="12">
        <f>C23*(1)</f>
        <v>2848</v>
      </c>
      <c r="E23" s="9"/>
      <c r="G23" s="20"/>
      <c r="H23" s="20" t="s">
        <v>9</v>
      </c>
      <c r="I23" s="20"/>
      <c r="J23" s="32">
        <v>25</v>
      </c>
      <c r="K23" s="20"/>
      <c r="L23" s="20"/>
    </row>
    <row r="24" spans="1:29" x14ac:dyDescent="0.2">
      <c r="A24" s="11"/>
      <c r="B24" s="9" t="s">
        <v>7</v>
      </c>
      <c r="C24" s="35">
        <v>255</v>
      </c>
      <c r="D24" s="33">
        <f>D22/(D23)</f>
        <v>467.68232826000076</v>
      </c>
      <c r="E24" s="9" t="s">
        <v>11</v>
      </c>
      <c r="G24" s="20"/>
      <c r="H24" s="20" t="s">
        <v>19</v>
      </c>
      <c r="I24" s="20"/>
      <c r="J24" s="34">
        <v>0.5</v>
      </c>
      <c r="K24" s="9"/>
      <c r="L24" s="20"/>
      <c r="S24" s="7"/>
    </row>
    <row r="25" spans="1:29" x14ac:dyDescent="0.2">
      <c r="A25" s="11"/>
      <c r="B25" s="9" t="s">
        <v>5</v>
      </c>
      <c r="C25" s="9"/>
      <c r="D25" s="17">
        <f>D24/C24-1</f>
        <v>0.83404834611765</v>
      </c>
      <c r="E25" s="9"/>
      <c r="F25" s="6"/>
      <c r="G25" s="20"/>
      <c r="H25" s="20" t="s">
        <v>25</v>
      </c>
      <c r="I25" s="20"/>
      <c r="J25" s="36">
        <f>C22</f>
        <v>726240</v>
      </c>
      <c r="K25" s="20" t="s">
        <v>11</v>
      </c>
      <c r="L25" s="20"/>
      <c r="R25" s="8"/>
    </row>
    <row r="26" spans="1:29" x14ac:dyDescent="0.2">
      <c r="A26" s="11"/>
      <c r="B26" s="9"/>
      <c r="C26" s="9"/>
      <c r="D26" s="10"/>
      <c r="E26" s="9"/>
      <c r="F26" s="6"/>
      <c r="G26" s="20"/>
      <c r="H26" s="20" t="s">
        <v>26</v>
      </c>
      <c r="I26" s="20"/>
      <c r="J26" s="14">
        <f>SUM(H17:R17)*J24</f>
        <v>378290.3110453359</v>
      </c>
      <c r="K26" s="20" t="s">
        <v>11</v>
      </c>
      <c r="L26" s="20"/>
      <c r="R26" s="8"/>
    </row>
    <row r="27" spans="1:29" x14ac:dyDescent="0.2">
      <c r="A27" s="9"/>
      <c r="B27" s="9"/>
      <c r="C27" s="9"/>
      <c r="D27" s="10"/>
      <c r="E27" s="10"/>
      <c r="G27" s="20"/>
      <c r="H27" s="20" t="s">
        <v>27</v>
      </c>
      <c r="I27" s="20"/>
      <c r="J27" s="14">
        <f>J23*J22</f>
        <v>3017620.370954568</v>
      </c>
      <c r="K27" s="20" t="s">
        <v>11</v>
      </c>
      <c r="L27" s="20"/>
      <c r="M27" s="3"/>
      <c r="N27" s="3"/>
      <c r="O27" s="3"/>
      <c r="P27" s="3"/>
      <c r="Q27" s="3"/>
      <c r="R27" s="3"/>
      <c r="S27" s="3"/>
      <c r="T27" s="3"/>
      <c r="U27" s="3"/>
    </row>
    <row r="28" spans="1:29" x14ac:dyDescent="0.2">
      <c r="A28" s="9"/>
      <c r="B28" s="10" t="s">
        <v>14</v>
      </c>
      <c r="C28" s="1">
        <v>0.1</v>
      </c>
      <c r="D28" s="16"/>
      <c r="E28" s="9"/>
      <c r="G28" s="20"/>
      <c r="H28" s="20" t="s">
        <v>17</v>
      </c>
      <c r="I28" s="20"/>
      <c r="J28" s="14">
        <f>J27+J26</f>
        <v>3395910.6819999041</v>
      </c>
      <c r="K28" s="20" t="s">
        <v>11</v>
      </c>
      <c r="L28" s="20"/>
    </row>
    <row r="29" spans="1:29" x14ac:dyDescent="0.2">
      <c r="A29" s="9"/>
      <c r="B29" s="15"/>
      <c r="C29" s="13"/>
      <c r="D29" s="9"/>
      <c r="E29" s="9"/>
      <c r="G29" s="20"/>
      <c r="H29" s="20" t="s">
        <v>16</v>
      </c>
      <c r="I29" s="20"/>
      <c r="J29" s="17">
        <f>(J28/J25)^0.1-1</f>
        <v>0.16677632788910146</v>
      </c>
      <c r="K29" s="20"/>
      <c r="L29" s="20"/>
    </row>
    <row r="30" spans="1:29" x14ac:dyDescent="0.2">
      <c r="G30" s="9"/>
      <c r="H30" s="9"/>
      <c r="I30" s="9"/>
      <c r="J30" s="9"/>
      <c r="K30" s="9"/>
      <c r="L30" s="9"/>
    </row>
    <row r="31" spans="1:29" x14ac:dyDescent="0.2">
      <c r="A31" s="22"/>
      <c r="B31" s="38" t="s">
        <v>10</v>
      </c>
      <c r="C31" s="38"/>
      <c r="D31" s="31" t="s">
        <v>5</v>
      </c>
      <c r="E31" s="22"/>
      <c r="V31" s="7"/>
    </row>
    <row r="32" spans="1:29" x14ac:dyDescent="0.2">
      <c r="A32" s="10" t="s">
        <v>13</v>
      </c>
      <c r="B32" s="13"/>
      <c r="C32" s="13">
        <v>0.04</v>
      </c>
      <c r="D32" s="17">
        <f t="shared" ref="D32:D40" si="23">((NPV(C32,$H$17:$AB$17)+($AB$17*(1+$AC$12)/(C32-$AC$12))/(1+C32)^(2040-2020))/$D$23)/$C$24-1</f>
        <v>17.223196272946034</v>
      </c>
      <c r="E32" s="9"/>
    </row>
    <row r="33" spans="1:5" x14ac:dyDescent="0.2">
      <c r="A33" s="9"/>
      <c r="B33" s="13"/>
      <c r="C33" s="13">
        <v>0.06</v>
      </c>
      <c r="D33" s="17">
        <f t="shared" si="23"/>
        <v>4.3505913117728587</v>
      </c>
      <c r="E33" s="9"/>
    </row>
    <row r="34" spans="1:5" x14ac:dyDescent="0.2">
      <c r="A34" s="9"/>
      <c r="B34" s="13"/>
      <c r="C34" s="13">
        <v>0.08</v>
      </c>
      <c r="D34" s="17">
        <f t="shared" si="23"/>
        <v>1.8561382663950914</v>
      </c>
      <c r="E34" s="9"/>
    </row>
    <row r="35" spans="1:5" x14ac:dyDescent="0.2">
      <c r="A35" s="9"/>
      <c r="B35" s="13"/>
      <c r="C35" s="13">
        <v>0.1</v>
      </c>
      <c r="D35" s="17">
        <f t="shared" si="23"/>
        <v>0.83404834611765</v>
      </c>
      <c r="E35" s="9"/>
    </row>
    <row r="36" spans="1:5" x14ac:dyDescent="0.2">
      <c r="A36" s="9"/>
      <c r="B36" s="13"/>
      <c r="C36" s="13">
        <v>0.12</v>
      </c>
      <c r="D36" s="17">
        <f t="shared" si="23"/>
        <v>0.29578314336745626</v>
      </c>
      <c r="E36" s="9"/>
    </row>
    <row r="37" spans="1:5" x14ac:dyDescent="0.2">
      <c r="A37" s="9"/>
      <c r="B37" s="13"/>
      <c r="C37" s="13">
        <v>0.14000000000000001</v>
      </c>
      <c r="D37" s="17">
        <f t="shared" si="23"/>
        <v>-2.7321655809219525E-2</v>
      </c>
      <c r="E37" s="9"/>
    </row>
    <row r="38" spans="1:5" x14ac:dyDescent="0.2">
      <c r="A38" s="9"/>
      <c r="B38" s="13"/>
      <c r="C38" s="13">
        <v>0.16</v>
      </c>
      <c r="D38" s="17">
        <f t="shared" si="23"/>
        <v>-0.23784888033180218</v>
      </c>
      <c r="E38" s="9"/>
    </row>
    <row r="39" spans="1:5" x14ac:dyDescent="0.2">
      <c r="A39" s="9"/>
      <c r="B39" s="13"/>
      <c r="C39" s="13">
        <v>0.18</v>
      </c>
      <c r="D39" s="17">
        <f t="shared" si="23"/>
        <v>-0.38310679179299079</v>
      </c>
      <c r="E39" s="9"/>
    </row>
    <row r="40" spans="1:5" x14ac:dyDescent="0.2">
      <c r="A40" s="9"/>
      <c r="B40" s="13"/>
      <c r="C40" s="13">
        <v>0.2</v>
      </c>
      <c r="D40" s="17">
        <f t="shared" si="23"/>
        <v>-0.48772843679614941</v>
      </c>
      <c r="E40" s="9"/>
    </row>
    <row r="41" spans="1:5" x14ac:dyDescent="0.2">
      <c r="A41" s="9"/>
      <c r="B41" s="13"/>
      <c r="C41" s="9"/>
      <c r="D41" s="9"/>
      <c r="E41" s="9"/>
    </row>
  </sheetData>
  <mergeCells count="1">
    <mergeCell ref="B31:C31"/>
  </mergeCells>
  <conditionalFormatting sqref="L6:L8">
    <cfRule type="top10" dxfId="3" priority="9" percent="1" rank="10"/>
  </conditionalFormatting>
  <conditionalFormatting sqref="G6:J8">
    <cfRule type="top10" dxfId="2" priority="8" percent="1" rank="10"/>
  </conditionalFormatting>
  <conditionalFormatting sqref="L9">
    <cfRule type="top10" dxfId="1" priority="6" percent="1" rank="10"/>
  </conditionalFormatting>
  <conditionalFormatting sqref="L2:L5">
    <cfRule type="top10" dxfId="0" priority="4" percent="1" rank="10"/>
  </conditionalFormatting>
  <conditionalFormatting sqref="D25">
    <cfRule type="colorScale" priority="3">
      <colorScale>
        <cfvo type="num" val="0"/>
        <cfvo type="percentile" val="7.0000000000000007E-2"/>
        <cfvo type="num" val="0.15"/>
        <color rgb="FFFFE1E2"/>
        <color rgb="FFFFFAE0"/>
        <color rgb="FF9CF5DC"/>
      </colorScale>
    </cfRule>
  </conditionalFormatting>
  <conditionalFormatting sqref="J29">
    <cfRule type="colorScale" priority="2">
      <colorScale>
        <cfvo type="num" val="0"/>
        <cfvo type="percentile" val="7.0000000000000007E-2"/>
        <cfvo type="num" val="0.15"/>
        <color rgb="FFFFE1E2"/>
        <color rgb="FFFFFAE0"/>
        <color rgb="FF9CF5DC"/>
      </colorScale>
    </cfRule>
  </conditionalFormatting>
  <conditionalFormatting sqref="D32:D40">
    <cfRule type="colorScale" priority="10">
      <colorScale>
        <cfvo type="min"/>
        <cfvo type="num" val="0"/>
        <cfvo type="max"/>
        <color rgb="FFFFE1E2"/>
        <color rgb="FFFFFAE0"/>
        <color rgb="FF9CF5DC"/>
      </colorScale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AlleAktien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Jakob</dc:creator>
  <cp:lastModifiedBy>Benjamin Franzil</cp:lastModifiedBy>
  <dcterms:created xsi:type="dcterms:W3CDTF">2020-02-09T06:30:31Z</dcterms:created>
  <dcterms:modified xsi:type="dcterms:W3CDTF">2021-03-08T09:26:40Z</dcterms:modified>
</cp:coreProperties>
</file>