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Siemens Healthineers/Extra Grafiken/"/>
    </mc:Choice>
  </mc:AlternateContent>
  <xr:revisionPtr revIDLastSave="0" documentId="13_ncr:1_{06305953-A71A-A247-A542-BC32C7604DF9}" xr6:coauthVersionLast="46" xr6:coauthVersionMax="46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  <sheet name="Mit Vari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" l="1"/>
  <c r="L17" i="2"/>
  <c r="M17" i="2"/>
  <c r="N17" i="2" s="1"/>
  <c r="K17" i="2"/>
  <c r="K18" i="2" s="1"/>
  <c r="J17" i="2"/>
  <c r="I17" i="2"/>
  <c r="I18" i="2" s="1"/>
  <c r="J14" i="2"/>
  <c r="I14" i="2"/>
  <c r="H14" i="2"/>
  <c r="J13" i="2"/>
  <c r="I13" i="2"/>
  <c r="H13" i="2"/>
  <c r="J16" i="2"/>
  <c r="I16" i="2"/>
  <c r="H16" i="2"/>
  <c r="J12" i="2"/>
  <c r="I12" i="2"/>
  <c r="H12" i="2"/>
  <c r="G16" i="2"/>
  <c r="F16" i="2"/>
  <c r="E16" i="2"/>
  <c r="D16" i="2"/>
  <c r="C16" i="2"/>
  <c r="G12" i="2"/>
  <c r="F12" i="2"/>
  <c r="E12" i="2"/>
  <c r="D12" i="2"/>
  <c r="C12" i="2"/>
  <c r="D25" i="2"/>
  <c r="C24" i="2"/>
  <c r="J27" i="2" s="1"/>
  <c r="M18" i="2"/>
  <c r="L18" i="2"/>
  <c r="J18" i="2"/>
  <c r="H18" i="2"/>
  <c r="C22" i="1"/>
  <c r="O17" i="2" l="1"/>
  <c r="N18" i="2"/>
  <c r="G14" i="2"/>
  <c r="C14" i="2"/>
  <c r="D13" i="2"/>
  <c r="G13" i="2"/>
  <c r="D14" i="2"/>
  <c r="E13" i="2"/>
  <c r="H19" i="2"/>
  <c r="F13" i="2"/>
  <c r="F14" i="2"/>
  <c r="E14" i="2"/>
  <c r="H11" i="1"/>
  <c r="I11" i="1" s="1"/>
  <c r="J11" i="1" s="1"/>
  <c r="J14" i="1" s="1"/>
  <c r="P17" i="2" l="1"/>
  <c r="O18" i="2"/>
  <c r="I19" i="2"/>
  <c r="J19" i="2"/>
  <c r="K12" i="2"/>
  <c r="H14" i="1"/>
  <c r="I14" i="1"/>
  <c r="J25" i="1"/>
  <c r="P18" i="2" l="1"/>
  <c r="Q17" i="2"/>
  <c r="L12" i="2"/>
  <c r="K19" i="2"/>
  <c r="K11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R17" i="2" l="1"/>
  <c r="Q18" i="2"/>
  <c r="M12" i="2"/>
  <c r="L16" i="2"/>
  <c r="L19" i="2" s="1"/>
  <c r="H16" i="1"/>
  <c r="H17" i="1" s="1"/>
  <c r="R18" i="2" l="1"/>
  <c r="N12" i="2"/>
  <c r="M16" i="2"/>
  <c r="M19" i="2" s="1"/>
  <c r="D23" i="1"/>
  <c r="S18" i="2" l="1"/>
  <c r="O12" i="2"/>
  <c r="N16" i="2"/>
  <c r="N19" i="2" s="1"/>
  <c r="I17" i="1"/>
  <c r="J17" i="1"/>
  <c r="T18" i="2" l="1"/>
  <c r="O16" i="2"/>
  <c r="O19" i="2" s="1"/>
  <c r="P12" i="2"/>
  <c r="G13" i="1"/>
  <c r="F13" i="1"/>
  <c r="E13" i="1"/>
  <c r="D13" i="1"/>
  <c r="C13" i="1"/>
  <c r="G12" i="1"/>
  <c r="F12" i="1"/>
  <c r="E12" i="1"/>
  <c r="D12" i="1"/>
  <c r="U18" i="2" l="1"/>
  <c r="P16" i="2"/>
  <c r="P19" i="2" s="1"/>
  <c r="Q12" i="2"/>
  <c r="L11" i="1"/>
  <c r="K14" i="1"/>
  <c r="K17" i="1" s="1"/>
  <c r="V18" i="2" l="1"/>
  <c r="R12" i="2"/>
  <c r="Q16" i="2"/>
  <c r="Q19" i="2" s="1"/>
  <c r="M11" i="1"/>
  <c r="L14" i="1"/>
  <c r="L17" i="1" s="1"/>
  <c r="W18" i="2" l="1"/>
  <c r="R16" i="2"/>
  <c r="R19" i="2" s="1"/>
  <c r="S12" i="2"/>
  <c r="M14" i="1"/>
  <c r="M17" i="1" s="1"/>
  <c r="N11" i="1"/>
  <c r="X18" i="2" l="1"/>
  <c r="T12" i="2"/>
  <c r="S16" i="2"/>
  <c r="S19" i="2" s="1"/>
  <c r="J24" i="2"/>
  <c r="J29" i="2" s="1"/>
  <c r="J28" i="2"/>
  <c r="N14" i="1"/>
  <c r="N17" i="1" s="1"/>
  <c r="O11" i="1"/>
  <c r="Y18" i="2" l="1"/>
  <c r="J30" i="2"/>
  <c r="J31" i="2" s="1"/>
  <c r="U12" i="2"/>
  <c r="T16" i="2"/>
  <c r="T19" i="2" s="1"/>
  <c r="O14" i="1"/>
  <c r="O17" i="1" s="1"/>
  <c r="P11" i="1"/>
  <c r="Z18" i="2" l="1"/>
  <c r="V12" i="2"/>
  <c r="U16" i="2"/>
  <c r="U19" i="2" s="1"/>
  <c r="Q11" i="1"/>
  <c r="P14" i="1"/>
  <c r="P17" i="1" s="1"/>
  <c r="AA18" i="2" l="1"/>
  <c r="AB18" i="2"/>
  <c r="W12" i="2"/>
  <c r="V16" i="2"/>
  <c r="V19" i="2" s="1"/>
  <c r="R11" i="1"/>
  <c r="Q14" i="1"/>
  <c r="Q17" i="1" s="1"/>
  <c r="X12" i="2" l="1"/>
  <c r="W16" i="2"/>
  <c r="W19" i="2" s="1"/>
  <c r="S11" i="1"/>
  <c r="R14" i="1"/>
  <c r="Y12" i="2" l="1"/>
  <c r="X16" i="2"/>
  <c r="X19" i="2" s="1"/>
  <c r="R17" i="1"/>
  <c r="J26" i="1" s="1"/>
  <c r="T11" i="1"/>
  <c r="S14" i="1"/>
  <c r="S17" i="1" s="1"/>
  <c r="Y16" i="2" l="1"/>
  <c r="Y19" i="2" s="1"/>
  <c r="Z12" i="2"/>
  <c r="J22" i="1"/>
  <c r="U11" i="1"/>
  <c r="T14" i="1"/>
  <c r="T17" i="1" s="1"/>
  <c r="Z16" i="2" l="1"/>
  <c r="Z19" i="2" s="1"/>
  <c r="AA12" i="2"/>
  <c r="J27" i="1"/>
  <c r="J28" i="1" s="1"/>
  <c r="J29" i="1" s="1"/>
  <c r="U14" i="1"/>
  <c r="U17" i="1" s="1"/>
  <c r="V11" i="1"/>
  <c r="AB12" i="2" l="1"/>
  <c r="AB16" i="2" s="1"/>
  <c r="AB19" i="2" s="1"/>
  <c r="AA16" i="2"/>
  <c r="AA19" i="2" s="1"/>
  <c r="V14" i="1"/>
  <c r="V17" i="1" s="1"/>
  <c r="W11" i="1"/>
  <c r="D42" i="2" l="1"/>
  <c r="D41" i="2"/>
  <c r="D40" i="2"/>
  <c r="D39" i="2"/>
  <c r="D38" i="2"/>
  <c r="AC19" i="2"/>
  <c r="D24" i="2" s="1"/>
  <c r="D26" i="2" s="1"/>
  <c r="D27" i="2" s="1"/>
  <c r="D37" i="2"/>
  <c r="D36" i="2"/>
  <c r="D35" i="2"/>
  <c r="D34" i="2"/>
  <c r="W14" i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<sst xmlns="http://schemas.openxmlformats.org/spreadsheetml/2006/main" count="76" uniqueCount="35">
  <si>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</si>
  <si>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</si>
  <si>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</si>
  <si>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</si>
  <si>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</si>
  <si>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</si>
  <si>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</si>
  <si>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</si>
  <si>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</si>
  <si>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Renditeerwartung</t>
  </si>
  <si>
    <t>Verschuldung</t>
  </si>
  <si>
    <t>Renditetabelle</t>
  </si>
  <si>
    <t>Diskontierungsfaktor (WACC)</t>
  </si>
  <si>
    <t>Prognose »</t>
  </si>
  <si>
    <t>Gesamtrendite</t>
  </si>
  <si>
    <t>Umsatz</t>
  </si>
  <si>
    <t>Ausschüttungsquote</t>
  </si>
  <si>
    <t>Terminal Value</t>
  </si>
  <si>
    <t>Marktkapitalisierung, Mio.</t>
  </si>
  <si>
    <t>Anzahl Aktien (diluted), Mio.</t>
  </si>
  <si>
    <t>Marktkap. heute, Mio.</t>
  </si>
  <si>
    <t>Zinszahlung (XX% Zinsen)</t>
  </si>
  <si>
    <t>Gewinn 2031, Mio.</t>
  </si>
  <si>
    <t>KGV 2031</t>
  </si>
  <si>
    <t>Dividenden bis 2031, Mio.</t>
  </si>
  <si>
    <t>Marktkap. 2031, Mio.</t>
  </si>
  <si>
    <t>Marktkap. + Div. 2031</t>
  </si>
  <si>
    <t>Gewinn (30% Unternehmenssteuer)</t>
  </si>
  <si>
    <t>Varian-Umsatz</t>
  </si>
  <si>
    <t>Gesamt-Umsatz</t>
  </si>
  <si>
    <t>EUR</t>
  </si>
  <si>
    <t>Alle Angaben in Mio. EUR</t>
  </si>
  <si>
    <t>Varian-EBIT</t>
  </si>
  <si>
    <t>Gesamt-EBIT</t>
  </si>
  <si>
    <t>Zinszahlung (1,4% Zinsen)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</si>
</sst>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  <fill>
      <patternFill patternType="solid">
        <fgColor rgb="FFEDF2F7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4" fontId="7" fillId="7" borderId="0" xfId="0" applyNumberFormat="1" applyFont="1" applyFill="1"/>
    <xf numFmtId="0" fontId="0" fillId="3" borderId="0" xfId="0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1123538</xdr:colOff>
      <xdr:row>0</xdr:row>
      <xdr:rowOff>49830</xdr:rowOff>
    </xdr:from>
    <xdr:to>
      <xdr:col>2</xdr:col>
      <xdr:colOff>401865</xdr:colOff>
      <xdr:row>2</xdr:row>
      <xdr:rowOff>73302</xdr:rowOff>
    </xdr:to>
    <xdr:pic>
      <xdr:nvPicPr>
        <xdr:cNvPr id="12" name="Graphic 13">
          <a:extLst>
            <a:ext uri="{FF2B5EF4-FFF2-40B4-BE49-F238E27FC236}">
              <a16:creationId xmlns:a16="http://schemas.microsoft.com/office/drawing/2014/main" id="{733C4FD6-BA10-AE42-BDE1-327E8B50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55495" y="49830"/>
          <a:ext cx="1735500" cy="437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B3521DC-3A1C-EF40-B798-DF1403EB8CBB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23</xdr:row>
      <xdr:rowOff>203200</xdr:rowOff>
    </xdr:from>
    <xdr:to>
      <xdr:col>6</xdr:col>
      <xdr:colOff>840600</xdr:colOff>
      <xdr:row>26</xdr:row>
      <xdr:rowOff>192900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0EC350-4433-AE46-A72C-42493A8B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947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34</xdr:row>
      <xdr:rowOff>95250</xdr:rowOff>
    </xdr:from>
    <xdr:to>
      <xdr:col>0</xdr:col>
      <xdr:colOff>754875</xdr:colOff>
      <xdr:row>37</xdr:row>
      <xdr:rowOff>88124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4B0C84-6775-B244-8757-694E9E79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229350"/>
          <a:ext cx="612000" cy="602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45AFE-65BE-0042-BEB6-842FEF613454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12</xdr:row>
      <xdr:rowOff>33514</xdr:rowOff>
    </xdr:from>
    <xdr:to>
      <xdr:col>0</xdr:col>
      <xdr:colOff>697847</xdr:colOff>
      <xdr:row>14</xdr:row>
      <xdr:rowOff>127000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F5229BB-B46E-5540-856D-0FF9242E5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24</xdr:row>
      <xdr:rowOff>62403</xdr:rowOff>
    </xdr:from>
    <xdr:to>
      <xdr:col>0</xdr:col>
      <xdr:colOff>691010</xdr:colOff>
      <xdr:row>26</xdr:row>
      <xdr:rowOff>160893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335ACA7-CA7B-4D44-AD49-6B864F39A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164503"/>
          <a:ext cx="492534" cy="504889"/>
        </a:xfrm>
        <a:prstGeom prst="rect">
          <a:avLst/>
        </a:prstGeom>
      </xdr:spPr>
    </xdr:pic>
    <xdr:clientData/>
  </xdr:twoCellAnchor>
  <xdr:twoCellAnchor editAs="oneCell">
    <xdr:from>
      <xdr:col>1</xdr:col>
      <xdr:colOff>1123538</xdr:colOff>
      <xdr:row>0</xdr:row>
      <xdr:rowOff>49830</xdr:rowOff>
    </xdr:from>
    <xdr:to>
      <xdr:col>2</xdr:col>
      <xdr:colOff>401865</xdr:colOff>
      <xdr:row>2</xdr:row>
      <xdr:rowOff>73302</xdr:rowOff>
    </xdr:to>
    <xdr:pic>
      <xdr:nvPicPr>
        <xdr:cNvPr id="8" name="Graphic 13">
          <a:extLst>
            <a:ext uri="{FF2B5EF4-FFF2-40B4-BE49-F238E27FC236}">
              <a16:creationId xmlns:a16="http://schemas.microsoft.com/office/drawing/2014/main" id="{0DFB3A96-8A76-2D43-AD8F-CCEB36BFD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53838" y="49830"/>
          <a:ext cx="1742127" cy="42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2" zoomScaleNormal="100" workbookViewId="0">
      <selection activeCell="C23" sqref="C23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31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17</v>
      </c>
    </row>
    <row r="11" spans="1:84" ht="17" x14ac:dyDescent="0.2">
      <c r="A11" s="11" t="s">
        <v>1</v>
      </c>
      <c r="B11" s="9" t="s">
        <v>15</v>
      </c>
      <c r="C11" s="37">
        <v>13547</v>
      </c>
      <c r="D11" s="37">
        <v>13796</v>
      </c>
      <c r="E11" s="37">
        <v>13429</v>
      </c>
      <c r="F11" s="37">
        <v>14518</v>
      </c>
      <c r="G11" s="37">
        <v>14460</v>
      </c>
      <c r="H11" s="12">
        <f t="shared" ref="H11:J11" si="0">G11*(1+H12)</f>
        <v>15531.799999999997</v>
      </c>
      <c r="I11" s="12">
        <f t="shared" si="0"/>
        <v>16779.399999999998</v>
      </c>
      <c r="J11" s="12">
        <f t="shared" si="0"/>
        <v>17449.499999999993</v>
      </c>
      <c r="K11" s="12">
        <f>J11*(1+K12)</f>
        <v>18496.469999999994</v>
      </c>
      <c r="L11" s="12">
        <f t="shared" ref="L11" si="1">K11*(1+L12)</f>
        <v>19606.258199999993</v>
      </c>
      <c r="M11" s="12">
        <f t="shared" ref="M11" si="2">L11*(1+M12)</f>
        <v>20782.633691999992</v>
      </c>
      <c r="N11" s="12">
        <f t="shared" ref="N11" si="3">M11*(1+N12)</f>
        <v>22029.591713519992</v>
      </c>
      <c r="O11" s="12">
        <f t="shared" ref="O11" si="4">N11*(1+O12)</f>
        <v>23351.367216331193</v>
      </c>
      <c r="P11" s="12">
        <f t="shared" ref="P11" si="5">O11*(1+P12)</f>
        <v>24752.449249311067</v>
      </c>
      <c r="Q11" s="12">
        <f t="shared" ref="Q11" si="6">P11*(1+Q12)</f>
        <v>26237.596204269732</v>
      </c>
      <c r="R11" s="12">
        <f t="shared" ref="R11" si="7">Q11*(1+R12)</f>
        <v>27811.851976525919</v>
      </c>
      <c r="S11" s="12">
        <f t="shared" ref="S11" si="8">R11*(1+S12)</f>
        <v>29202.444575352216</v>
      </c>
      <c r="T11" s="12">
        <f t="shared" ref="T11" si="9">S11*(1+T12)</f>
        <v>30662.56680411983</v>
      </c>
      <c r="U11" s="12">
        <f t="shared" ref="U11" si="10">T11*(1+U12)</f>
        <v>32195.695144325822</v>
      </c>
      <c r="V11" s="12">
        <f t="shared" ref="V11" si="11">U11*(1+V12)</f>
        <v>33805.479901542116</v>
      </c>
      <c r="W11" s="12">
        <f t="shared" ref="W11" si="12">V11*(1+W12)</f>
        <v>35495.753896619222</v>
      </c>
      <c r="X11" s="12">
        <f t="shared" ref="X11" si="13">W11*(1+X12)</f>
        <v>37270.541591450186</v>
      </c>
      <c r="Y11" s="12">
        <f t="shared" ref="Y11" si="14">X11*(1+Y12)</f>
        <v>39134.068671022695</v>
      </c>
      <c r="Z11" s="12">
        <f t="shared" ref="Z11" si="15">Y11*(1+Z12)</f>
        <v>41090.772104573829</v>
      </c>
      <c r="AA11" s="12">
        <f t="shared" ref="AA11" si="16">Z11*(1+AA12)</f>
        <v>43145.310709802521</v>
      </c>
      <c r="AB11" s="12">
        <f t="shared" ref="AB11" si="17">AA11*(1+AB12)</f>
        <v>45302.57624529265</v>
      </c>
      <c r="AC11" s="12"/>
    </row>
    <row r="12" spans="1:84" x14ac:dyDescent="0.2">
      <c r="A12" s="11"/>
      <c r="B12" s="9" t="s">
        <v>2</v>
      </c>
      <c r="C12" s="13"/>
      <c r="D12" s="13">
        <f>D11/C11-1</f>
        <v>1.838045323687898E-2</v>
      </c>
      <c r="E12" s="13">
        <f>E11/D11-1</f>
        <v>-2.6601913598144344E-2</v>
      </c>
      <c r="F12" s="13">
        <f>F11/E11-1</f>
        <v>8.1093156601385052E-2</v>
      </c>
      <c r="G12" s="13">
        <f>G11/F11-1</f>
        <v>-3.9950406392065263E-3</v>
      </c>
      <c r="H12" s="1">
        <v>7.4121715076071792E-2</v>
      </c>
      <c r="I12" s="1">
        <v>8.0325525695669642E-2</v>
      </c>
      <c r="J12" s="1">
        <v>3.9935873749955109E-2</v>
      </c>
      <c r="K12" s="1">
        <v>0.06</v>
      </c>
      <c r="L12" s="1">
        <v>0.06</v>
      </c>
      <c r="M12" s="1">
        <v>0.06</v>
      </c>
      <c r="N12" s="1">
        <v>0.06</v>
      </c>
      <c r="O12" s="1">
        <v>0.06</v>
      </c>
      <c r="P12" s="1">
        <v>0.06</v>
      </c>
      <c r="Q12" s="1">
        <v>0.06</v>
      </c>
      <c r="R12" s="1">
        <v>0.06</v>
      </c>
      <c r="S12" s="1">
        <v>0.05</v>
      </c>
      <c r="T12" s="1">
        <v>0.05</v>
      </c>
      <c r="U12" s="1">
        <v>0.05</v>
      </c>
      <c r="V12" s="1">
        <v>0.05</v>
      </c>
      <c r="W12" s="1">
        <v>0.05</v>
      </c>
      <c r="X12" s="1">
        <v>0.05</v>
      </c>
      <c r="Y12" s="1">
        <v>0.05</v>
      </c>
      <c r="Z12" s="1">
        <v>0.05</v>
      </c>
      <c r="AA12" s="1">
        <v>0.05</v>
      </c>
      <c r="AB12" s="1">
        <v>0.05</v>
      </c>
      <c r="AC12" s="1">
        <v>3.5000000000000003E-2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0.15619694397283532</v>
      </c>
      <c r="D13" s="13">
        <f t="shared" si="18"/>
        <v>0.16577268773557552</v>
      </c>
      <c r="E13" s="13">
        <f t="shared" si="18"/>
        <v>0.15146325117283491</v>
      </c>
      <c r="F13" s="13">
        <f t="shared" si="18"/>
        <v>0.15918170546907287</v>
      </c>
      <c r="G13" s="13">
        <f t="shared" si="18"/>
        <v>0.14107883817427386</v>
      </c>
      <c r="H13" s="1">
        <v>0.15368920537220415</v>
      </c>
      <c r="I13" s="1">
        <v>0.16025662419395212</v>
      </c>
      <c r="J13" s="1">
        <v>0.17004899853864008</v>
      </c>
      <c r="K13" s="1">
        <v>0.17499999999999999</v>
      </c>
      <c r="L13" s="1">
        <v>0.18</v>
      </c>
      <c r="M13" s="1">
        <v>0.185</v>
      </c>
      <c r="N13" s="1">
        <v>0.19</v>
      </c>
      <c r="O13" s="1">
        <v>0.19500000000000001</v>
      </c>
      <c r="P13" s="1">
        <v>0.2</v>
      </c>
      <c r="Q13" s="1">
        <v>0.2</v>
      </c>
      <c r="R13" s="1">
        <v>0.2</v>
      </c>
      <c r="S13" s="1">
        <v>0.2</v>
      </c>
      <c r="T13" s="1">
        <v>0.2</v>
      </c>
      <c r="U13" s="1">
        <v>0.2</v>
      </c>
      <c r="V13" s="1">
        <v>0.2</v>
      </c>
      <c r="W13" s="1">
        <v>0.2</v>
      </c>
      <c r="X13" s="1">
        <v>0.2</v>
      </c>
      <c r="Y13" s="1">
        <v>0.2</v>
      </c>
      <c r="Z13" s="1">
        <v>0.2</v>
      </c>
      <c r="AA13" s="1">
        <v>0.2</v>
      </c>
      <c r="AB13" s="1">
        <v>0.2</v>
      </c>
      <c r="AC13" s="1"/>
    </row>
    <row r="14" spans="1:84" ht="17" customHeight="1" x14ac:dyDescent="0.2">
      <c r="A14" s="11"/>
      <c r="B14" s="9" t="s">
        <v>3</v>
      </c>
      <c r="C14" s="37">
        <v>2116</v>
      </c>
      <c r="D14" s="37">
        <v>2287</v>
      </c>
      <c r="E14" s="37">
        <v>2034</v>
      </c>
      <c r="F14" s="37">
        <v>2311</v>
      </c>
      <c r="G14" s="37">
        <v>2040</v>
      </c>
      <c r="H14" s="12">
        <f t="shared" ref="H14:J14" si="19">H11*H13</f>
        <v>2387.0700000000002</v>
      </c>
      <c r="I14" s="12">
        <f t="shared" si="19"/>
        <v>2689.0099999999998</v>
      </c>
      <c r="J14" s="12">
        <f t="shared" si="19"/>
        <v>2967.2699999999991</v>
      </c>
      <c r="K14" s="12">
        <f t="shared" ref="K14:AB14" si="20">K11*K13</f>
        <v>3236.8822499999987</v>
      </c>
      <c r="L14" s="12">
        <f t="shared" si="20"/>
        <v>3529.1264759999985</v>
      </c>
      <c r="M14" s="12">
        <f t="shared" si="20"/>
        <v>3844.7872330199984</v>
      </c>
      <c r="N14" s="12">
        <f t="shared" si="20"/>
        <v>4185.6224255687985</v>
      </c>
      <c r="O14" s="12">
        <f t="shared" si="20"/>
        <v>4553.5166071845824</v>
      </c>
      <c r="P14" s="12">
        <f t="shared" si="20"/>
        <v>4950.4898498622133</v>
      </c>
      <c r="Q14" s="12">
        <f t="shared" si="20"/>
        <v>5247.5192408539469</v>
      </c>
      <c r="R14" s="12">
        <f t="shared" si="20"/>
        <v>5562.3703953051845</v>
      </c>
      <c r="S14" s="12">
        <f t="shared" si="20"/>
        <v>5840.4889150704439</v>
      </c>
      <c r="T14" s="12">
        <f t="shared" si="20"/>
        <v>6132.5133608239667</v>
      </c>
      <c r="U14" s="12">
        <f t="shared" si="20"/>
        <v>6439.1390288651646</v>
      </c>
      <c r="V14" s="12">
        <f t="shared" si="20"/>
        <v>6761.0959803084233</v>
      </c>
      <c r="W14" s="12">
        <f t="shared" si="20"/>
        <v>7099.1507793238452</v>
      </c>
      <c r="X14" s="12">
        <f t="shared" si="20"/>
        <v>7454.1083182900375</v>
      </c>
      <c r="Y14" s="12">
        <f t="shared" si="20"/>
        <v>7826.8137342045393</v>
      </c>
      <c r="Z14" s="12">
        <f t="shared" si="20"/>
        <v>8218.1544209147669</v>
      </c>
      <c r="AA14" s="12">
        <f t="shared" si="20"/>
        <v>8629.062141960505</v>
      </c>
      <c r="AB14" s="12">
        <f t="shared" si="20"/>
        <v>9060.5152490585297</v>
      </c>
      <c r="AC14" s="12"/>
    </row>
    <row r="15" spans="1:84" ht="17" hidden="1" customHeight="1" x14ac:dyDescent="0.2">
      <c r="A15" s="11"/>
      <c r="B15" s="9" t="s">
        <v>10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21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0.3</v>
      </c>
      <c r="B17" s="9" t="s">
        <v>27</v>
      </c>
      <c r="C17" s="36">
        <v>1311</v>
      </c>
      <c r="D17" s="37">
        <v>1427</v>
      </c>
      <c r="E17" s="37">
        <v>1265</v>
      </c>
      <c r="F17" s="37">
        <v>1567</v>
      </c>
      <c r="G17" s="37">
        <v>1411</v>
      </c>
      <c r="H17" s="12">
        <f>(H14+H16)*(1-$A$17)</f>
        <v>1670.9490000000001</v>
      </c>
      <c r="I17" s="12">
        <f t="shared" ref="I17:AB17" si="22">(I14+I16)*(1-$A$17)</f>
        <v>1882.3069999999998</v>
      </c>
      <c r="J17" s="12">
        <f t="shared" si="22"/>
        <v>2077.088999999999</v>
      </c>
      <c r="K17" s="12">
        <f t="shared" si="22"/>
        <v>2265.8175749999991</v>
      </c>
      <c r="L17" s="12">
        <f t="shared" si="22"/>
        <v>2470.3885331999986</v>
      </c>
      <c r="M17" s="12">
        <f t="shared" si="22"/>
        <v>2691.3510631139989</v>
      </c>
      <c r="N17" s="12">
        <f t="shared" si="22"/>
        <v>2929.9356978981587</v>
      </c>
      <c r="O17" s="12">
        <f t="shared" si="22"/>
        <v>3187.4616250292074</v>
      </c>
      <c r="P17" s="12">
        <f t="shared" si="22"/>
        <v>3465.3428949035492</v>
      </c>
      <c r="Q17" s="12">
        <f t="shared" si="22"/>
        <v>3673.2634685977628</v>
      </c>
      <c r="R17" s="12">
        <f t="shared" si="22"/>
        <v>3893.659276713629</v>
      </c>
      <c r="S17" s="12">
        <f t="shared" si="22"/>
        <v>4088.3422405493106</v>
      </c>
      <c r="T17" s="12">
        <f t="shared" si="22"/>
        <v>4292.7593525767761</v>
      </c>
      <c r="U17" s="12">
        <f t="shared" si="22"/>
        <v>4507.397320205615</v>
      </c>
      <c r="V17" s="12">
        <f t="shared" si="22"/>
        <v>4732.7671862158959</v>
      </c>
      <c r="W17" s="12">
        <f t="shared" si="22"/>
        <v>4969.4055455266916</v>
      </c>
      <c r="X17" s="12">
        <f t="shared" si="22"/>
        <v>5217.8758228030256</v>
      </c>
      <c r="Y17" s="12">
        <f t="shared" si="22"/>
        <v>5478.7696139431773</v>
      </c>
      <c r="Z17" s="12">
        <f t="shared" si="22"/>
        <v>5752.7080946403366</v>
      </c>
      <c r="AA17" s="12">
        <f t="shared" si="22"/>
        <v>6040.3434993723531</v>
      </c>
      <c r="AB17" s="12">
        <f t="shared" si="22"/>
        <v>6342.36067434097</v>
      </c>
      <c r="AC17" s="37">
        <f>AB17*(1+AC12)/(C28-AC12)</f>
        <v>100989.89689142928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44299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18</v>
      </c>
      <c r="C22" s="12">
        <f>C23*C24</f>
        <v>53016</v>
      </c>
      <c r="D22" s="12">
        <f>NPV($C$28,H17:AB17)+AC17/(1+C28)^(2040-2020)</f>
        <v>42149.262182347018</v>
      </c>
      <c r="E22" s="20" t="s">
        <v>30</v>
      </c>
      <c r="G22" s="19"/>
      <c r="H22" s="20" t="s">
        <v>22</v>
      </c>
      <c r="I22" s="20"/>
      <c r="J22" s="14">
        <f>R17</f>
        <v>3893.659276713629</v>
      </c>
      <c r="K22" s="20" t="s">
        <v>30</v>
      </c>
      <c r="L22" s="20"/>
    </row>
    <row r="23" spans="1:29" x14ac:dyDescent="0.2">
      <c r="A23" s="11"/>
      <c r="B23" s="9" t="s">
        <v>19</v>
      </c>
      <c r="C23" s="21">
        <v>1128</v>
      </c>
      <c r="D23" s="12">
        <f>C23*(1)</f>
        <v>1128</v>
      </c>
      <c r="E23" s="9"/>
      <c r="G23" s="20"/>
      <c r="H23" s="20" t="s">
        <v>23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47</v>
      </c>
      <c r="D24" s="33">
        <f>D22/(D23)</f>
        <v>37.366367182931754</v>
      </c>
      <c r="E24" s="20" t="s">
        <v>30</v>
      </c>
      <c r="G24" s="20"/>
      <c r="H24" s="20" t="s">
        <v>16</v>
      </c>
      <c r="I24" s="20"/>
      <c r="J24" s="34">
        <v>0.5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-0.20497091100145204</v>
      </c>
      <c r="E25" s="9"/>
      <c r="F25" s="6"/>
      <c r="G25" s="20"/>
      <c r="H25" s="20" t="s">
        <v>20</v>
      </c>
      <c r="I25" s="20"/>
      <c r="J25" s="36">
        <f>C22</f>
        <v>53016</v>
      </c>
      <c r="K25" s="20" t="s">
        <v>30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24</v>
      </c>
      <c r="I26" s="20"/>
      <c r="J26" s="14">
        <f>SUM(H17:R17)*J24</f>
        <v>15103.782567228152</v>
      </c>
      <c r="K26" s="20" t="s">
        <v>30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25</v>
      </c>
      <c r="I27" s="20"/>
      <c r="J27" s="14">
        <f>J23*J22</f>
        <v>97341.48191784072</v>
      </c>
      <c r="K27" s="20" t="s">
        <v>30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12</v>
      </c>
      <c r="C28" s="1">
        <v>0.1</v>
      </c>
      <c r="D28" s="16"/>
      <c r="E28" s="9"/>
      <c r="G28" s="20"/>
      <c r="H28" s="20" t="s">
        <v>26</v>
      </c>
      <c r="I28" s="20"/>
      <c r="J28" s="14">
        <f>J27+J26</f>
        <v>112445.26448506887</v>
      </c>
      <c r="K28" s="20" t="s">
        <v>30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14</v>
      </c>
      <c r="I29" s="20"/>
      <c r="J29" s="17">
        <f>(J28/J25)^0.1-1</f>
        <v>7.8086037069724057E-2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9" t="s">
        <v>9</v>
      </c>
      <c r="C31" s="39"/>
      <c r="D31" s="31" t="s">
        <v>5</v>
      </c>
      <c r="E31" s="22"/>
      <c r="V31" s="7"/>
    </row>
    <row r="32" spans="1:29" x14ac:dyDescent="0.2">
      <c r="A32" s="10" t="s">
        <v>11</v>
      </c>
      <c r="B32" s="13"/>
      <c r="C32" s="13">
        <v>0.04</v>
      </c>
      <c r="D32" s="17">
        <f t="shared" ref="D32:D40" si="23">((NPV(C32,$H$17:$AB$17)+($AB$17*(1+$AC$12)/(C32-$AC$12))/(1+C32)^(2040-2020))/$D$23)/$C$24-1</f>
        <v>11.244121903822025</v>
      </c>
      <c r="E32" s="9"/>
    </row>
    <row r="33" spans="1:5" x14ac:dyDescent="0.2">
      <c r="A33" s="9"/>
      <c r="B33" s="13"/>
      <c r="C33" s="13">
        <v>0.06</v>
      </c>
      <c r="D33" s="17">
        <f t="shared" si="23"/>
        <v>1.3008863025574895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0.20785058243834764</v>
      </c>
      <c r="E34" s="9"/>
    </row>
    <row r="35" spans="1:5" x14ac:dyDescent="0.2">
      <c r="A35" s="9"/>
      <c r="B35" s="13"/>
      <c r="C35" s="13">
        <v>0.1</v>
      </c>
      <c r="D35" s="17">
        <f t="shared" si="23"/>
        <v>-0.20497091100145204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-0.41846246054107183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-0.54716289871216883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-0.63226813701434903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-0.69218898562547526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-0.73635667132172244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7" priority="9" percent="1" rank="10"/>
  </conditionalFormatting>
  <conditionalFormatting sqref="G6:J8">
    <cfRule type="top10" dxfId="6" priority="8" percent="1" rank="10"/>
  </conditionalFormatting>
  <conditionalFormatting sqref="L9">
    <cfRule type="top10" dxfId="5" priority="6" percent="1" rank="10"/>
  </conditionalFormatting>
  <conditionalFormatting sqref="L2:L5">
    <cfRule type="top10" dxfId="4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82C1-0DCB-D54A-AFD9-2FB1BC804AB2}">
  <dimension ref="A1:CF43"/>
  <sheetViews>
    <sheetView zoomScale="90" zoomScaleNormal="90" workbookViewId="0">
      <selection activeCell="J47" sqref="J47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31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17</v>
      </c>
    </row>
    <row r="11" spans="1:84" s="41" customFormat="1" x14ac:dyDescent="0.2">
      <c r="A11" s="9"/>
      <c r="B11" s="9" t="s">
        <v>28</v>
      </c>
      <c r="C11" s="37">
        <v>2727</v>
      </c>
      <c r="D11" s="37">
        <v>2261</v>
      </c>
      <c r="E11" s="37">
        <v>2474</v>
      </c>
      <c r="F11" s="37">
        <v>2733</v>
      </c>
      <c r="G11" s="37">
        <v>2685</v>
      </c>
      <c r="H11" s="12">
        <v>2997</v>
      </c>
      <c r="I11" s="12">
        <v>3307</v>
      </c>
      <c r="J11" s="12">
        <v>3695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5"/>
    </row>
    <row r="12" spans="1:84" ht="17" x14ac:dyDescent="0.2">
      <c r="A12" s="11" t="s">
        <v>1</v>
      </c>
      <c r="B12" s="9" t="s">
        <v>29</v>
      </c>
      <c r="C12" s="37">
        <f>13547+C11</f>
        <v>16274</v>
      </c>
      <c r="D12" s="37">
        <f>D11+13796</f>
        <v>16057</v>
      </c>
      <c r="E12" s="37">
        <f>E11+13429</f>
        <v>15903</v>
      </c>
      <c r="F12" s="37">
        <f>F11+14518</f>
        <v>17251</v>
      </c>
      <c r="G12" s="37">
        <f>G11+14460</f>
        <v>17145</v>
      </c>
      <c r="H12" s="12">
        <f>15531.8+H11</f>
        <v>18528.8</v>
      </c>
      <c r="I12" s="12">
        <f>16779.4+I11</f>
        <v>20086.400000000001</v>
      </c>
      <c r="J12" s="12">
        <f>17449.5+J11</f>
        <v>21144.5</v>
      </c>
      <c r="K12" s="12">
        <f>J12*(1+K13)</f>
        <v>22624.615000000002</v>
      </c>
      <c r="L12" s="12">
        <f t="shared" ref="L12:AB12" si="0">K12*(1+L13)</f>
        <v>24208.338050000002</v>
      </c>
      <c r="M12" s="12">
        <f t="shared" si="0"/>
        <v>25902.921713500004</v>
      </c>
      <c r="N12" s="12">
        <f t="shared" si="0"/>
        <v>27457.097016310006</v>
      </c>
      <c r="O12" s="12">
        <f t="shared" si="0"/>
        <v>29104.522837288609</v>
      </c>
      <c r="P12" s="12">
        <f t="shared" si="0"/>
        <v>30850.794207525927</v>
      </c>
      <c r="Q12" s="12">
        <f t="shared" si="0"/>
        <v>32701.841859977485</v>
      </c>
      <c r="R12" s="12">
        <f t="shared" si="0"/>
        <v>34663.952371576139</v>
      </c>
      <c r="S12" s="12">
        <f t="shared" si="0"/>
        <v>36397.149990154947</v>
      </c>
      <c r="T12" s="12">
        <f t="shared" si="0"/>
        <v>38217.007489662697</v>
      </c>
      <c r="U12" s="12">
        <f t="shared" si="0"/>
        <v>40127.857864145837</v>
      </c>
      <c r="V12" s="12">
        <f t="shared" si="0"/>
        <v>42134.250757353133</v>
      </c>
      <c r="W12" s="12">
        <f t="shared" si="0"/>
        <v>44240.96329522079</v>
      </c>
      <c r="X12" s="12">
        <f t="shared" si="0"/>
        <v>46453.011459981833</v>
      </c>
      <c r="Y12" s="12">
        <f t="shared" si="0"/>
        <v>48775.66203298093</v>
      </c>
      <c r="Z12" s="12">
        <f t="shared" si="0"/>
        <v>51214.445134629976</v>
      </c>
      <c r="AA12" s="12">
        <f t="shared" si="0"/>
        <v>53775.16739136148</v>
      </c>
      <c r="AB12" s="12">
        <f t="shared" si="0"/>
        <v>56463.925760929553</v>
      </c>
      <c r="AC12" s="12"/>
    </row>
    <row r="13" spans="1:84" x14ac:dyDescent="0.2">
      <c r="A13" s="11"/>
      <c r="B13" s="9" t="s">
        <v>2</v>
      </c>
      <c r="C13" s="13"/>
      <c r="D13" s="13">
        <f>D12/C12-1</f>
        <v>-1.3334152636106711E-2</v>
      </c>
      <c r="E13" s="13">
        <f>E12/D12-1</f>
        <v>-9.5908326586535697E-3</v>
      </c>
      <c r="F13" s="13">
        <f>F12/E12-1</f>
        <v>8.4763881028736776E-2</v>
      </c>
      <c r="G13" s="13">
        <f>G12/F12-1</f>
        <v>-6.1445713291983228E-3</v>
      </c>
      <c r="H13" s="1">
        <f t="shared" ref="H13:J13" si="1">H12/G12-1</f>
        <v>8.0711577719451588E-2</v>
      </c>
      <c r="I13" s="1">
        <f t="shared" si="1"/>
        <v>8.4063727818315392E-2</v>
      </c>
      <c r="J13" s="1">
        <f t="shared" si="1"/>
        <v>5.2677433487334557E-2</v>
      </c>
      <c r="K13" s="1">
        <v>7.0000000000000007E-2</v>
      </c>
      <c r="L13" s="1">
        <v>7.0000000000000007E-2</v>
      </c>
      <c r="M13" s="1">
        <v>7.0000000000000007E-2</v>
      </c>
      <c r="N13" s="1">
        <v>0.06</v>
      </c>
      <c r="O13" s="1">
        <v>0.06</v>
      </c>
      <c r="P13" s="1">
        <v>0.06</v>
      </c>
      <c r="Q13" s="1">
        <v>0.06</v>
      </c>
      <c r="R13" s="1">
        <v>0.06</v>
      </c>
      <c r="S13" s="1">
        <v>0.05</v>
      </c>
      <c r="T13" s="1">
        <v>0.05</v>
      </c>
      <c r="U13" s="1">
        <v>0.05</v>
      </c>
      <c r="V13" s="1">
        <v>0.05</v>
      </c>
      <c r="W13" s="1">
        <v>0.05</v>
      </c>
      <c r="X13" s="1">
        <v>0.05</v>
      </c>
      <c r="Y13" s="1">
        <v>0.05</v>
      </c>
      <c r="Z13" s="1">
        <v>0.05</v>
      </c>
      <c r="AA13" s="1">
        <v>0.05</v>
      </c>
      <c r="AB13" s="1">
        <v>0.05</v>
      </c>
      <c r="AC13" s="1">
        <v>3.5000000000000003E-2</v>
      </c>
    </row>
    <row r="14" spans="1:84" ht="16" customHeight="1" x14ac:dyDescent="0.2">
      <c r="A14" s="11"/>
      <c r="B14" s="9" t="s">
        <v>4</v>
      </c>
      <c r="C14" s="13">
        <f t="shared" ref="C14:J14" si="2">C16/C12</f>
        <v>0.15871942976526976</v>
      </c>
      <c r="D14" s="13">
        <f t="shared" si="2"/>
        <v>0.16049075169707916</v>
      </c>
      <c r="E14" s="13">
        <f t="shared" si="2"/>
        <v>0.15148085266930766</v>
      </c>
      <c r="F14" s="13">
        <f t="shared" si="2"/>
        <v>0.15291867138136919</v>
      </c>
      <c r="G14" s="13">
        <f t="shared" si="2"/>
        <v>0.13496646252551764</v>
      </c>
      <c r="H14" s="1">
        <f t="shared" si="2"/>
        <v>0.15716452225724278</v>
      </c>
      <c r="I14" s="1">
        <f t="shared" si="2"/>
        <v>0.16439033375816473</v>
      </c>
      <c r="J14" s="1">
        <f t="shared" si="2"/>
        <v>0.17306013384095154</v>
      </c>
      <c r="K14" s="1">
        <v>0.18</v>
      </c>
      <c r="L14" s="1">
        <v>0.185</v>
      </c>
      <c r="M14" s="1">
        <v>0.19</v>
      </c>
      <c r="N14" s="1">
        <v>0.19500000000000001</v>
      </c>
      <c r="O14" s="1">
        <v>0.2</v>
      </c>
      <c r="P14" s="1">
        <v>0.20499999999999999</v>
      </c>
      <c r="Q14" s="1">
        <v>0.21</v>
      </c>
      <c r="R14" s="1">
        <v>0.215</v>
      </c>
      <c r="S14" s="1">
        <v>0.22</v>
      </c>
      <c r="T14" s="1">
        <v>0.22</v>
      </c>
      <c r="U14" s="1">
        <v>0.22</v>
      </c>
      <c r="V14" s="1">
        <v>0.22</v>
      </c>
      <c r="W14" s="1">
        <v>0.22</v>
      </c>
      <c r="X14" s="1">
        <v>0.22</v>
      </c>
      <c r="Y14" s="1">
        <v>0.22</v>
      </c>
      <c r="Z14" s="1">
        <v>0.22</v>
      </c>
      <c r="AA14" s="1">
        <v>0.22</v>
      </c>
      <c r="AB14" s="1">
        <v>0.22</v>
      </c>
      <c r="AC14" s="1"/>
    </row>
    <row r="15" spans="1:84" ht="16" customHeight="1" x14ac:dyDescent="0.2">
      <c r="A15" s="11"/>
      <c r="B15" s="9" t="s">
        <v>32</v>
      </c>
      <c r="C15" s="37">
        <v>467</v>
      </c>
      <c r="D15" s="37">
        <v>290</v>
      </c>
      <c r="E15" s="37">
        <v>375</v>
      </c>
      <c r="F15" s="37">
        <v>327</v>
      </c>
      <c r="G15" s="37">
        <v>274</v>
      </c>
      <c r="H15" s="12">
        <v>525</v>
      </c>
      <c r="I15" s="12">
        <v>613</v>
      </c>
      <c r="J15" s="12">
        <v>692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84" x14ac:dyDescent="0.2">
      <c r="A16" s="11"/>
      <c r="B16" s="9" t="s">
        <v>33</v>
      </c>
      <c r="C16" s="37">
        <f>C15+2116</f>
        <v>2583</v>
      </c>
      <c r="D16" s="37">
        <f>D15+2287</f>
        <v>2577</v>
      </c>
      <c r="E16" s="37">
        <f>E15+2034</f>
        <v>2409</v>
      </c>
      <c r="F16" s="37">
        <f>F15+2311</f>
        <v>2638</v>
      </c>
      <c r="G16" s="37">
        <f>G15+2040</f>
        <v>2314</v>
      </c>
      <c r="H16" s="12">
        <f>2387.07+H15</f>
        <v>2912.07</v>
      </c>
      <c r="I16" s="12">
        <f>2689.01+I15</f>
        <v>3302.01</v>
      </c>
      <c r="J16" s="12">
        <f>2967.27+J15</f>
        <v>3659.27</v>
      </c>
      <c r="K16" s="12">
        <f>K12*K14</f>
        <v>4072.4307000000003</v>
      </c>
      <c r="L16" s="12">
        <f t="shared" ref="H16:AB16" si="3">L12*L14</f>
        <v>4478.5425392500001</v>
      </c>
      <c r="M16" s="12">
        <f t="shared" si="3"/>
        <v>4921.5551255650007</v>
      </c>
      <c r="N16" s="12">
        <f t="shared" si="3"/>
        <v>5354.1339181804515</v>
      </c>
      <c r="O16" s="12">
        <f t="shared" si="3"/>
        <v>5820.9045674577219</v>
      </c>
      <c r="P16" s="12">
        <f t="shared" si="3"/>
        <v>6324.4128125428151</v>
      </c>
      <c r="Q16" s="12">
        <f t="shared" si="3"/>
        <v>6867.386790595272</v>
      </c>
      <c r="R16" s="12">
        <f t="shared" si="3"/>
        <v>7452.7497598888694</v>
      </c>
      <c r="S16" s="12">
        <f t="shared" si="3"/>
        <v>8007.372997834088</v>
      </c>
      <c r="T16" s="12">
        <f t="shared" si="3"/>
        <v>8407.7416477257939</v>
      </c>
      <c r="U16" s="12">
        <f t="shared" si="3"/>
        <v>8828.1287301120847</v>
      </c>
      <c r="V16" s="12">
        <f t="shared" si="3"/>
        <v>9269.5351666176884</v>
      </c>
      <c r="W16" s="12">
        <f t="shared" si="3"/>
        <v>9733.0119249485742</v>
      </c>
      <c r="X16" s="12">
        <f t="shared" si="3"/>
        <v>10219.662521196004</v>
      </c>
      <c r="Y16" s="12">
        <f t="shared" si="3"/>
        <v>10730.645647255804</v>
      </c>
      <c r="Z16" s="12">
        <f t="shared" si="3"/>
        <v>11267.177929618594</v>
      </c>
      <c r="AA16" s="12">
        <f t="shared" si="3"/>
        <v>11830.536826099526</v>
      </c>
      <c r="AB16" s="12">
        <f t="shared" si="3"/>
        <v>12422.063667404502</v>
      </c>
      <c r="AC16" s="12"/>
    </row>
    <row r="17" spans="1:29" x14ac:dyDescent="0.2">
      <c r="A17" s="11"/>
      <c r="B17" s="9" t="s">
        <v>10</v>
      </c>
      <c r="C17" s="36"/>
      <c r="D17" s="37"/>
      <c r="E17" s="37"/>
      <c r="F17" s="37"/>
      <c r="G17" s="37"/>
      <c r="H17" s="21">
        <v>15000</v>
      </c>
      <c r="I17" s="21">
        <f>H17-1500</f>
        <v>13500</v>
      </c>
      <c r="J17" s="21">
        <f>I17-1500</f>
        <v>12000</v>
      </c>
      <c r="K17" s="21">
        <f>J17-1500</f>
        <v>10500</v>
      </c>
      <c r="L17" s="21">
        <f t="shared" ref="L17:AB17" si="4">K17-1500</f>
        <v>9000</v>
      </c>
      <c r="M17" s="21">
        <f t="shared" si="4"/>
        <v>7500</v>
      </c>
      <c r="N17" s="21">
        <f t="shared" si="4"/>
        <v>6000</v>
      </c>
      <c r="O17" s="21">
        <f t="shared" si="4"/>
        <v>4500</v>
      </c>
      <c r="P17" s="21">
        <f t="shared" si="4"/>
        <v>3000</v>
      </c>
      <c r="Q17" s="21">
        <f t="shared" si="4"/>
        <v>1500</v>
      </c>
      <c r="R17" s="21">
        <f t="shared" si="4"/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12"/>
    </row>
    <row r="18" spans="1:29" x14ac:dyDescent="0.2">
      <c r="A18" s="1">
        <v>1.4E-2</v>
      </c>
      <c r="B18" s="9" t="s">
        <v>34</v>
      </c>
      <c r="C18" s="36"/>
      <c r="D18" s="37"/>
      <c r="E18" s="37"/>
      <c r="F18" s="37"/>
      <c r="G18" s="37"/>
      <c r="H18" s="12">
        <f>-$A$18*H17</f>
        <v>-210</v>
      </c>
      <c r="I18" s="12">
        <f t="shared" ref="I18:AB18" si="5">-$A$18*I17</f>
        <v>-189</v>
      </c>
      <c r="J18" s="12">
        <f t="shared" si="5"/>
        <v>-168</v>
      </c>
      <c r="K18" s="12">
        <f t="shared" si="5"/>
        <v>-147</v>
      </c>
      <c r="L18" s="12">
        <f t="shared" si="5"/>
        <v>-126</v>
      </c>
      <c r="M18" s="12">
        <f t="shared" si="5"/>
        <v>-105</v>
      </c>
      <c r="N18" s="12">
        <f t="shared" si="5"/>
        <v>-84</v>
      </c>
      <c r="O18" s="12">
        <f t="shared" si="5"/>
        <v>-63</v>
      </c>
      <c r="P18" s="12">
        <f t="shared" si="5"/>
        <v>-42</v>
      </c>
      <c r="Q18" s="12">
        <f t="shared" si="5"/>
        <v>-21</v>
      </c>
      <c r="R18" s="12">
        <f t="shared" si="5"/>
        <v>0</v>
      </c>
      <c r="S18" s="12">
        <f t="shared" si="5"/>
        <v>0</v>
      </c>
      <c r="T18" s="12">
        <f t="shared" si="5"/>
        <v>0</v>
      </c>
      <c r="U18" s="12">
        <f t="shared" si="5"/>
        <v>0</v>
      </c>
      <c r="V18" s="12">
        <f t="shared" si="5"/>
        <v>0</v>
      </c>
      <c r="W18" s="12">
        <f t="shared" si="5"/>
        <v>0</v>
      </c>
      <c r="X18" s="12">
        <f t="shared" si="5"/>
        <v>0</v>
      </c>
      <c r="Y18" s="12">
        <f t="shared" si="5"/>
        <v>0</v>
      </c>
      <c r="Z18" s="12">
        <f t="shared" si="5"/>
        <v>0</v>
      </c>
      <c r="AA18" s="12">
        <f t="shared" si="5"/>
        <v>0</v>
      </c>
      <c r="AB18" s="12">
        <f t="shared" si="5"/>
        <v>0</v>
      </c>
      <c r="AC18" s="12"/>
    </row>
    <row r="19" spans="1:29" x14ac:dyDescent="0.2">
      <c r="A19" s="1">
        <v>0.3</v>
      </c>
      <c r="B19" s="9" t="s">
        <v>27</v>
      </c>
      <c r="C19" s="36">
        <v>1311</v>
      </c>
      <c r="D19" s="37">
        <v>1427</v>
      </c>
      <c r="E19" s="37">
        <v>1265</v>
      </c>
      <c r="F19" s="37">
        <v>1567</v>
      </c>
      <c r="G19" s="37">
        <v>1411</v>
      </c>
      <c r="H19" s="12">
        <f>(H16+H18)*(1-$A$19)</f>
        <v>1891.4490000000001</v>
      </c>
      <c r="I19" s="12">
        <f t="shared" ref="I19:AB19" si="6">(I16+I18)*(1-$A$19)</f>
        <v>2179.107</v>
      </c>
      <c r="J19" s="12">
        <f t="shared" si="6"/>
        <v>2443.8889999999997</v>
      </c>
      <c r="K19" s="12">
        <f t="shared" si="6"/>
        <v>2747.8014900000003</v>
      </c>
      <c r="L19" s="12">
        <f t="shared" si="6"/>
        <v>3046.7797774749997</v>
      </c>
      <c r="M19" s="12">
        <f t="shared" si="6"/>
        <v>3371.5885878955005</v>
      </c>
      <c r="N19" s="12">
        <f t="shared" si="6"/>
        <v>3689.0937427263157</v>
      </c>
      <c r="O19" s="12">
        <f t="shared" si="6"/>
        <v>4030.5331972204049</v>
      </c>
      <c r="P19" s="12">
        <f t="shared" si="6"/>
        <v>4397.6889687799703</v>
      </c>
      <c r="Q19" s="12">
        <f t="shared" si="6"/>
        <v>4792.4707534166901</v>
      </c>
      <c r="R19" s="12">
        <f t="shared" si="6"/>
        <v>5216.9248319222079</v>
      </c>
      <c r="S19" s="12">
        <f t="shared" si="6"/>
        <v>5605.1610984838617</v>
      </c>
      <c r="T19" s="12">
        <f t="shared" si="6"/>
        <v>5885.4191534080555</v>
      </c>
      <c r="U19" s="12">
        <f t="shared" si="6"/>
        <v>6179.6901110784593</v>
      </c>
      <c r="V19" s="12">
        <f t="shared" si="6"/>
        <v>6488.6746166323819</v>
      </c>
      <c r="W19" s="12">
        <f t="shared" si="6"/>
        <v>6813.1083474640018</v>
      </c>
      <c r="X19" s="12">
        <f t="shared" si="6"/>
        <v>7153.763764837202</v>
      </c>
      <c r="Y19" s="12">
        <f t="shared" si="6"/>
        <v>7511.4519530790622</v>
      </c>
      <c r="Z19" s="12">
        <f t="shared" si="6"/>
        <v>7887.0245507330155</v>
      </c>
      <c r="AA19" s="12">
        <f t="shared" si="6"/>
        <v>8281.3757782696666</v>
      </c>
      <c r="AB19" s="12">
        <f t="shared" si="6"/>
        <v>8695.4445671831509</v>
      </c>
      <c r="AC19" s="37">
        <f>AB19*(1+AC13)/(C30-AC13)</f>
        <v>138458.23272360861</v>
      </c>
    </row>
    <row r="20" spans="1:29" x14ac:dyDescent="0.2">
      <c r="A20" s="4"/>
      <c r="B20" s="1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9" x14ac:dyDescent="0.2">
      <c r="A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9" x14ac:dyDescent="0.2">
      <c r="A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9" x14ac:dyDescent="0.2">
      <c r="A23" s="25"/>
      <c r="B23" s="22"/>
      <c r="C23" s="26">
        <v>44299</v>
      </c>
      <c r="D23" s="38" t="s">
        <v>6</v>
      </c>
      <c r="E23" s="28"/>
      <c r="F23" s="5"/>
      <c r="G23" s="29" t="s">
        <v>8</v>
      </c>
      <c r="H23" s="29"/>
      <c r="I23" s="29"/>
      <c r="J23" s="30"/>
      <c r="K23" s="30"/>
      <c r="L23" s="30"/>
      <c r="M23" s="5"/>
      <c r="N23" s="5"/>
      <c r="O23" s="5"/>
      <c r="P23" s="5"/>
      <c r="Q23" s="5"/>
      <c r="R23" s="5"/>
    </row>
    <row r="24" spans="1:29" ht="17" x14ac:dyDescent="0.2">
      <c r="A24" s="11" t="s">
        <v>0</v>
      </c>
      <c r="B24" s="9" t="s">
        <v>18</v>
      </c>
      <c r="C24" s="12">
        <f>C25*C26</f>
        <v>53016</v>
      </c>
      <c r="D24" s="12">
        <f>NPV($C$30,H19:AB19)+AC19/(1+C30)^(2040-2020)</f>
        <v>55539.931584380145</v>
      </c>
      <c r="E24" s="40" t="s">
        <v>30</v>
      </c>
      <c r="G24" s="19"/>
      <c r="H24" s="20" t="s">
        <v>22</v>
      </c>
      <c r="I24" s="20"/>
      <c r="J24" s="14">
        <f>R19</f>
        <v>5216.9248319222079</v>
      </c>
      <c r="K24" s="40" t="s">
        <v>30</v>
      </c>
      <c r="L24" s="20"/>
    </row>
    <row r="25" spans="1:29" x14ac:dyDescent="0.2">
      <c r="A25" s="11"/>
      <c r="B25" s="9" t="s">
        <v>19</v>
      </c>
      <c r="C25" s="21">
        <v>1128</v>
      </c>
      <c r="D25" s="12">
        <f>C25*(1)</f>
        <v>1128</v>
      </c>
      <c r="E25" s="9"/>
      <c r="G25" s="20"/>
      <c r="H25" s="20" t="s">
        <v>23</v>
      </c>
      <c r="I25" s="20"/>
      <c r="J25" s="32">
        <v>25</v>
      </c>
      <c r="K25" s="20"/>
      <c r="L25" s="20"/>
    </row>
    <row r="26" spans="1:29" x14ac:dyDescent="0.2">
      <c r="A26" s="11"/>
      <c r="B26" s="9" t="s">
        <v>7</v>
      </c>
      <c r="C26" s="35">
        <v>47</v>
      </c>
      <c r="D26" s="33">
        <f>D24/(D25)</f>
        <v>49.237528000337008</v>
      </c>
      <c r="E26" s="40" t="s">
        <v>30</v>
      </c>
      <c r="G26" s="20"/>
      <c r="H26" s="20" t="s">
        <v>16</v>
      </c>
      <c r="I26" s="20"/>
      <c r="J26" s="34">
        <v>0.5</v>
      </c>
      <c r="K26" s="9"/>
      <c r="L26" s="20"/>
      <c r="S26" s="7"/>
    </row>
    <row r="27" spans="1:29" x14ac:dyDescent="0.2">
      <c r="A27" s="11"/>
      <c r="B27" s="9" t="s">
        <v>5</v>
      </c>
      <c r="C27" s="9"/>
      <c r="D27" s="17">
        <f>D26/C26-1</f>
        <v>4.7606978730574623E-2</v>
      </c>
      <c r="E27" s="9"/>
      <c r="F27" s="6"/>
      <c r="G27" s="20"/>
      <c r="H27" s="20" t="s">
        <v>20</v>
      </c>
      <c r="I27" s="20"/>
      <c r="J27" s="36">
        <f>C24</f>
        <v>53016</v>
      </c>
      <c r="K27" s="40" t="s">
        <v>30</v>
      </c>
      <c r="L27" s="20"/>
      <c r="R27" s="8"/>
    </row>
    <row r="28" spans="1:29" x14ac:dyDescent="0.2">
      <c r="A28" s="11"/>
      <c r="B28" s="9"/>
      <c r="C28" s="9"/>
      <c r="D28" s="10"/>
      <c r="E28" s="9"/>
      <c r="F28" s="6"/>
      <c r="G28" s="20"/>
      <c r="H28" s="20" t="s">
        <v>24</v>
      </c>
      <c r="I28" s="20"/>
      <c r="J28" s="14">
        <f>SUM(H19:R19)*J26</f>
        <v>18903.663174718044</v>
      </c>
      <c r="K28" s="40" t="s">
        <v>30</v>
      </c>
      <c r="L28" s="20"/>
      <c r="R28" s="8"/>
    </row>
    <row r="29" spans="1:29" x14ac:dyDescent="0.2">
      <c r="A29" s="9"/>
      <c r="B29" s="9"/>
      <c r="C29" s="9"/>
      <c r="D29" s="10"/>
      <c r="E29" s="10"/>
      <c r="G29" s="20"/>
      <c r="H29" s="20" t="s">
        <v>25</v>
      </c>
      <c r="I29" s="20"/>
      <c r="J29" s="14">
        <f>J25*J24</f>
        <v>130423.1207980552</v>
      </c>
      <c r="K29" s="40" t="s">
        <v>30</v>
      </c>
      <c r="L29" s="20"/>
      <c r="M29" s="3"/>
      <c r="N29" s="3"/>
      <c r="O29" s="3"/>
      <c r="P29" s="3"/>
      <c r="Q29" s="3"/>
      <c r="R29" s="3"/>
      <c r="S29" s="3"/>
      <c r="T29" s="3"/>
      <c r="U29" s="3"/>
    </row>
    <row r="30" spans="1:29" x14ac:dyDescent="0.2">
      <c r="A30" s="9"/>
      <c r="B30" s="10" t="s">
        <v>12</v>
      </c>
      <c r="C30" s="1">
        <v>0.1</v>
      </c>
      <c r="D30" s="16"/>
      <c r="E30" s="9"/>
      <c r="G30" s="20"/>
      <c r="H30" s="20" t="s">
        <v>26</v>
      </c>
      <c r="I30" s="20"/>
      <c r="J30" s="14">
        <f>J29+J28</f>
        <v>149326.78397277324</v>
      </c>
      <c r="K30" s="40" t="s">
        <v>30</v>
      </c>
      <c r="L30" s="20"/>
    </row>
    <row r="31" spans="1:29" x14ac:dyDescent="0.2">
      <c r="A31" s="9"/>
      <c r="B31" s="15"/>
      <c r="C31" s="13"/>
      <c r="D31" s="9"/>
      <c r="E31" s="9"/>
      <c r="G31" s="20"/>
      <c r="H31" s="20" t="s">
        <v>14</v>
      </c>
      <c r="I31" s="20"/>
      <c r="J31" s="17">
        <f>(J30/J27)^0.1-1</f>
        <v>0.10910605286193631</v>
      </c>
      <c r="K31" s="20"/>
      <c r="L31" s="20"/>
    </row>
    <row r="32" spans="1:29" x14ac:dyDescent="0.2">
      <c r="G32" s="9"/>
      <c r="H32" s="9"/>
      <c r="I32" s="9"/>
      <c r="J32" s="9"/>
      <c r="K32" s="9"/>
      <c r="L32" s="9"/>
    </row>
    <row r="33" spans="1:22" x14ac:dyDescent="0.2">
      <c r="A33" s="22"/>
      <c r="B33" s="39" t="s">
        <v>9</v>
      </c>
      <c r="C33" s="39"/>
      <c r="D33" s="31" t="s">
        <v>5</v>
      </c>
      <c r="E33" s="22"/>
      <c r="V33" s="7"/>
    </row>
    <row r="34" spans="1:22" x14ac:dyDescent="0.2">
      <c r="A34" s="10" t="s">
        <v>11</v>
      </c>
      <c r="B34" s="13"/>
      <c r="C34" s="13">
        <v>0.04</v>
      </c>
      <c r="D34" s="17">
        <f t="shared" ref="D34:D42" si="7">((NPV(C34,$H$19:$AB$19)+($AB$19*(1+$AC$13)/(C34-$AC$13))/(1+C34)^(2040-2020))/$D$25)/$C$26-1</f>
        <v>15.731350425473664</v>
      </c>
      <c r="E34" s="9"/>
    </row>
    <row r="35" spans="1:22" x14ac:dyDescent="0.2">
      <c r="A35" s="9"/>
      <c r="B35" s="13"/>
      <c r="C35" s="13">
        <v>0.06</v>
      </c>
      <c r="D35" s="17">
        <f t="shared" si="7"/>
        <v>2.1040631409581319</v>
      </c>
      <c r="E35" s="9"/>
    </row>
    <row r="36" spans="1:22" x14ac:dyDescent="0.2">
      <c r="A36" s="9"/>
      <c r="B36" s="13"/>
      <c r="C36" s="13">
        <v>0.08</v>
      </c>
      <c r="D36" s="17">
        <f t="shared" si="7"/>
        <v>0.60982484742153509</v>
      </c>
      <c r="E36" s="9"/>
    </row>
    <row r="37" spans="1:22" x14ac:dyDescent="0.2">
      <c r="A37" s="9"/>
      <c r="B37" s="13"/>
      <c r="C37" s="13">
        <v>0.1</v>
      </c>
      <c r="D37" s="17">
        <f t="shared" si="7"/>
        <v>4.7606978730574623E-2</v>
      </c>
      <c r="E37" s="9"/>
    </row>
    <row r="38" spans="1:22" x14ac:dyDescent="0.2">
      <c r="A38" s="9"/>
      <c r="B38" s="13"/>
      <c r="C38" s="13">
        <v>0.12</v>
      </c>
      <c r="D38" s="17">
        <f t="shared" si="7"/>
        <v>-0.24179886614047363</v>
      </c>
      <c r="E38" s="9"/>
    </row>
    <row r="39" spans="1:22" x14ac:dyDescent="0.2">
      <c r="A39" s="9"/>
      <c r="B39" s="13"/>
      <c r="C39" s="13">
        <v>0.14000000000000001</v>
      </c>
      <c r="D39" s="17">
        <f t="shared" si="7"/>
        <v>-0.41535372722318264</v>
      </c>
      <c r="E39" s="9"/>
    </row>
    <row r="40" spans="1:22" x14ac:dyDescent="0.2">
      <c r="A40" s="9"/>
      <c r="B40" s="13"/>
      <c r="C40" s="13">
        <v>0.16</v>
      </c>
      <c r="D40" s="17">
        <f t="shared" si="7"/>
        <v>-0.52947764992720314</v>
      </c>
      <c r="E40" s="9"/>
    </row>
    <row r="41" spans="1:22" x14ac:dyDescent="0.2">
      <c r="A41" s="9"/>
      <c r="B41" s="13"/>
      <c r="C41" s="13">
        <v>0.18</v>
      </c>
      <c r="D41" s="17">
        <f t="shared" si="7"/>
        <v>-0.60936245766451791</v>
      </c>
      <c r="E41" s="9"/>
    </row>
    <row r="42" spans="1:22" x14ac:dyDescent="0.2">
      <c r="A42" s="9"/>
      <c r="B42" s="13"/>
      <c r="C42" s="13">
        <v>0.2</v>
      </c>
      <c r="D42" s="17">
        <f t="shared" si="7"/>
        <v>-0.66789726568556862</v>
      </c>
      <c r="E42" s="9"/>
    </row>
    <row r="43" spans="1:22" x14ac:dyDescent="0.2">
      <c r="A43" s="9"/>
      <c r="B43" s="13"/>
      <c r="C43" s="9"/>
      <c r="D43" s="9"/>
      <c r="E43" s="9"/>
    </row>
  </sheetData>
  <mergeCells count="1">
    <mergeCell ref="B33:C33"/>
  </mergeCells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D27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31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4:D42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AlleAktien</vt:lpstr>
      <vt:lpstr>Mit Varian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2021-04-13T13:41:12Z</dcterms:modified>
</cp:coreProperties>
</file>